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ficova\Desktop\DRUHOTNÁ UMÍSTĚNÍ\2026\"/>
    </mc:Choice>
  </mc:AlternateContent>
  <xr:revisionPtr revIDLastSave="0" documentId="13_ncr:1_{5BB4A41B-00C2-462E-85FB-E3C9CCA23179}" xr6:coauthVersionLast="47" xr6:coauthVersionMax="47" xr10:uidLastSave="{00000000-0000-0000-0000-000000000000}"/>
  <bookViews>
    <workbookView xWindow="-120" yWindow="-120" windowWidth="29040" windowHeight="15840" tabRatio="686" activeTab="7" xr2:uid="{00000000-000D-0000-FFFF-FFFF00000000}"/>
  </bookViews>
  <sheets>
    <sheet name="Leden" sheetId="4" r:id="rId1"/>
    <sheet name="Únor" sheetId="5" r:id="rId2"/>
    <sheet name="Březen" sheetId="17" r:id="rId3"/>
    <sheet name="Duben" sheetId="18" r:id="rId4"/>
    <sheet name="Květen" sheetId="19" r:id="rId5"/>
    <sheet name="Červen" sheetId="20" r:id="rId6"/>
    <sheet name="Červenec" sheetId="21" r:id="rId7"/>
    <sheet name="Srpen" sheetId="22" r:id="rId8"/>
    <sheet name="Září" sheetId="23" r:id="rId9"/>
    <sheet name="Říjen" sheetId="24" r:id="rId10"/>
    <sheet name="Listopad" sheetId="25" r:id="rId11"/>
    <sheet name="Prosinec" sheetId="15" r:id="rId12"/>
  </sheets>
  <definedNames>
    <definedName name="KalendářníRok">Leden!$AH$3</definedName>
    <definedName name="KlíčDovolená">Leden!#REF!</definedName>
    <definedName name="KlíčDovolenáPopisek">Leden!#REF!</definedName>
    <definedName name="KlíčOsobní">Leden!#REF!</definedName>
    <definedName name="KlíčOsobníPopisek">Leden!#REF!</definedName>
    <definedName name="KlíčZdravotníNeschopnost">Leden!#REF!</definedName>
    <definedName name="KlíčZdravotníNeschopnostPopisek">Leden!#REF!</definedName>
    <definedName name="Nadpis1">Leden[[#Headers],[Firma]]</definedName>
    <definedName name="Nadpis10">Říjen[[#Headers],[Firma]]</definedName>
    <definedName name="Nadpis11">Listopad[[#Headers],[Firma]]</definedName>
    <definedName name="Nadpis12">Prosinec[[#Headers],[Firma]]</definedName>
    <definedName name="Nadpis2">Únor[[#Headers],[Firma]]</definedName>
    <definedName name="Nadpis3">Březen[[#Headers],[Firma]]</definedName>
    <definedName name="Nadpis4">Duben[[#Headers],[Firma]]</definedName>
    <definedName name="Nadpis5">Květen[[#Headers],[Firma]]</definedName>
    <definedName name="Nadpis6">Červen[[#Headers],[Firma]]</definedName>
    <definedName name="Nadpis7">Červenec[[#Headers],[Firma]]</definedName>
    <definedName name="Nadpis8">Srpen[[#Headers],[Firma]]</definedName>
    <definedName name="Nadpis9">Září[[#Headers],[Firma]]</definedName>
    <definedName name="Název_klíče">Leden!#REF!</definedName>
    <definedName name="Název_nepřítomnosti_zaměstnanců">Leden!$B$1</definedName>
    <definedName name="NázevMěsíce" localSheetId="2">Březen!$B$3</definedName>
    <definedName name="NázevMěsíce" localSheetId="5">Červen!$B$3</definedName>
    <definedName name="NázevMěsíce" localSheetId="6">Červenec!$B$3</definedName>
    <definedName name="NázevMěsíce" localSheetId="3">Duben!$B$3</definedName>
    <definedName name="NázevMěsíce" localSheetId="4">Květen!$B$3</definedName>
    <definedName name="NázevMěsíce" localSheetId="0">Leden!$B$3</definedName>
    <definedName name="NázevMěsíce" localSheetId="10">Listopad!$B$3</definedName>
    <definedName name="NázevMěsíce" localSheetId="11">Prosinec!$B$3</definedName>
    <definedName name="NázevMěsíce" localSheetId="9">Říjen!$B$3</definedName>
    <definedName name="NázevMěsíce" localSheetId="7">Srpen!$B$3</definedName>
    <definedName name="NázevMěsíce" localSheetId="1">Únor!$B$3</definedName>
    <definedName name="NázevMěsíce" localSheetId="8">Září!$B$3</definedName>
    <definedName name="NázevSloupce13">#REF!</definedName>
    <definedName name="_xlnm.Print_Titles" localSheetId="2">Březen!$3:$5</definedName>
    <definedName name="_xlnm.Print_Titles" localSheetId="5">Červen!$3:$5</definedName>
    <definedName name="_xlnm.Print_Titles" localSheetId="6">Červenec!$3:$5</definedName>
    <definedName name="_xlnm.Print_Titles" localSheetId="3">Duben!$3:$5</definedName>
    <definedName name="_xlnm.Print_Titles" localSheetId="4">Květen!$3:$5</definedName>
    <definedName name="_xlnm.Print_Titles" localSheetId="0">Leden!$3:$5</definedName>
    <definedName name="_xlnm.Print_Titles" localSheetId="10">Listopad!$3:$5</definedName>
    <definedName name="_xlnm.Print_Titles" localSheetId="11">Prosinec!$3:$5</definedName>
    <definedName name="_xlnm.Print_Titles" localSheetId="9">Říjen!$3:$5</definedName>
    <definedName name="_xlnm.Print_Titles" localSheetId="7">Srpen!$3:$5</definedName>
    <definedName name="_xlnm.Print_Titles" localSheetId="1">Únor!$3:$5</definedName>
    <definedName name="_xlnm.Print_Titles" localSheetId="8">Září!$3:$5</definedName>
    <definedName name="PopisekVlastníhoKlíče1">Leden!#REF!</definedName>
    <definedName name="PopisekVlastníhoKlíče2">Leden!#REF!</definedName>
    <definedName name="VlastníKlíč1">Leden!#REF!</definedName>
    <definedName name="VlastníKlíč2">Leden!#REF!</definedName>
  </definedNames>
  <calcPr calcId="181029"/>
</workbook>
</file>

<file path=xl/calcChain.xml><?xml version="1.0" encoding="utf-8"?>
<calcChain xmlns="http://schemas.openxmlformats.org/spreadsheetml/2006/main">
  <c r="C17" i="20" l="1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1" i="19"/>
  <c r="AI14" i="18"/>
  <c r="AI11" i="15"/>
  <c r="AI11" i="25"/>
  <c r="AI11" i="24"/>
  <c r="AI11" i="23"/>
  <c r="AI12" i="17"/>
  <c r="AH17" i="20" l="1"/>
  <c r="AI17" i="20"/>
  <c r="AH6" i="25"/>
  <c r="AH7" i="25"/>
  <c r="AH8" i="25"/>
  <c r="AH9" i="25"/>
  <c r="AH10" i="25"/>
  <c r="AH6" i="23"/>
  <c r="AH7" i="23"/>
  <c r="AH8" i="23"/>
  <c r="AH9" i="23"/>
  <c r="AH10" i="23"/>
  <c r="AD11" i="15"/>
  <c r="AE11" i="15"/>
  <c r="AF11" i="15"/>
  <c r="AG11" i="15"/>
  <c r="AE11" i="25"/>
  <c r="AF11" i="25"/>
  <c r="AG11" i="25"/>
  <c r="AE11" i="24"/>
  <c r="AF11" i="24"/>
  <c r="AG11" i="24"/>
  <c r="AE11" i="23"/>
  <c r="AF11" i="23"/>
  <c r="AG11" i="23"/>
  <c r="AF11" i="22"/>
  <c r="AG11" i="22"/>
  <c r="AF11" i="21"/>
  <c r="AG11" i="21"/>
  <c r="AF12" i="19"/>
  <c r="AG12" i="19"/>
  <c r="AG14" i="18"/>
  <c r="AF14" i="18"/>
  <c r="AF12" i="17"/>
  <c r="AG12" i="17"/>
  <c r="AF4" i="25" l="1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H3" i="25"/>
  <c r="B1" i="25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AH10" i="24"/>
  <c r="AH9" i="24"/>
  <c r="AH8" i="24"/>
  <c r="AH7" i="24"/>
  <c r="AH6" i="24"/>
  <c r="AH3" i="24"/>
  <c r="B1" i="24"/>
  <c r="AF4" i="23"/>
  <c r="AE4" i="23"/>
  <c r="AD4" i="23"/>
  <c r="AC4" i="23"/>
  <c r="AB4" i="23"/>
  <c r="AA4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AH11" i="23"/>
  <c r="AH3" i="23"/>
  <c r="B1" i="23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AH10" i="22"/>
  <c r="AH9" i="22"/>
  <c r="AH8" i="22"/>
  <c r="AI11" i="22"/>
  <c r="AH3" i="22"/>
  <c r="B1" i="22"/>
  <c r="AG4" i="21"/>
  <c r="AF4" i="21"/>
  <c r="AE4" i="21"/>
  <c r="AD4" i="21"/>
  <c r="AC4" i="21"/>
  <c r="AB4" i="21"/>
  <c r="AA4" i="21"/>
  <c r="Z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AH10" i="21"/>
  <c r="AH9" i="21"/>
  <c r="AH3" i="21"/>
  <c r="B1" i="21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AH3" i="20"/>
  <c r="B1" i="20"/>
  <c r="AG4" i="19"/>
  <c r="AF4" i="19"/>
  <c r="AE4" i="19"/>
  <c r="AD4" i="19"/>
  <c r="AC4" i="19"/>
  <c r="AB4" i="19"/>
  <c r="AA4" i="19"/>
  <c r="Z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I12" i="19"/>
  <c r="AH3" i="19"/>
  <c r="B1" i="19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AH14" i="18"/>
  <c r="AH3" i="18"/>
  <c r="B1" i="18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AH3" i="17"/>
  <c r="B1" i="17"/>
  <c r="B1" i="15"/>
  <c r="B1" i="5"/>
  <c r="AI11" i="21" l="1"/>
  <c r="AH11" i="21"/>
  <c r="AH12" i="17"/>
  <c r="AH11" i="22"/>
  <c r="AH11" i="25"/>
  <c r="AH12" i="19"/>
  <c r="AH11" i="24"/>
  <c r="AB4" i="5"/>
  <c r="AH3" i="15" l="1"/>
  <c r="C11" i="4" l="1"/>
  <c r="D11" i="4"/>
  <c r="AH6" i="15" l="1"/>
  <c r="AH7" i="15"/>
  <c r="AH8" i="15"/>
  <c r="AH9" i="15"/>
  <c r="AH10" i="15"/>
  <c r="AH11" i="15" l="1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G4" i="15" l="1"/>
  <c r="AF4" i="15"/>
  <c r="AE4" i="15"/>
  <c r="AD4" i="15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C11" i="5" l="1"/>
  <c r="AE4" i="5"/>
  <c r="AD4" i="5"/>
  <c r="AC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E4" i="4" l="1"/>
  <c r="AA4" i="4"/>
  <c r="W4" i="4"/>
  <c r="O4" i="4"/>
  <c r="G4" i="4"/>
  <c r="AD4" i="4"/>
  <c r="Z4" i="4"/>
  <c r="R4" i="4"/>
  <c r="N4" i="4"/>
  <c r="F4" i="4"/>
  <c r="M4" i="4"/>
  <c r="AG4" i="4"/>
  <c r="AC4" i="4"/>
  <c r="Y4" i="4"/>
  <c r="S4" i="4"/>
  <c r="K4" i="4"/>
  <c r="E4" i="4"/>
  <c r="AF4" i="4"/>
  <c r="AB4" i="4"/>
  <c r="X4" i="4"/>
  <c r="T4" i="4"/>
  <c r="P4" i="4"/>
  <c r="L4" i="4"/>
  <c r="H4" i="4"/>
  <c r="D4" i="4"/>
  <c r="Q4" i="4"/>
  <c r="I4" i="4"/>
  <c r="C4" i="4"/>
  <c r="V4" i="4"/>
  <c r="J4" i="4"/>
  <c r="U4" i="4"/>
</calcChain>
</file>

<file path=xl/sharedStrings.xml><?xml version="1.0" encoding="utf-8"?>
<sst xmlns="http://schemas.openxmlformats.org/spreadsheetml/2006/main" count="538" uniqueCount="112">
  <si>
    <t>Leden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</si>
  <si>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</si>
  <si>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</si>
  <si>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</si>
  <si>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</si>
  <si>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</si>
  <si>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</si>
  <si>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</si>
  <si>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</si>
  <si>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</si>
  <si>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</si>
  <si>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</si>
  <si>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</si>
  <si>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</si>
  <si>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</si>
  <si>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</si>
  <si>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</si>
  <si>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</si>
  <si>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</si>
  <si>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</si>
  <si>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</si>
  <si>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</si>
  <si>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</si>
  <si>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</si>
  <si>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</si>
  <si>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</si>
  <si>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</si>
  <si>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</si>
  <si>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</si>
  <si>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</si>
  <si>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</si>
  <si>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</si>
  <si>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Únor</t>
  </si>
  <si>
    <t xml:space="preserve"> </t>
  </si>
  <si>
    <t xml:space="preserve">  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</si>
  <si>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</si>
  <si>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</si>
  <si>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</si>
  <si>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</si>
  <si>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</si>
  <si>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</si>
  <si>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</si>
  <si>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</si>
  <si>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</si>
  <si>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</si>
  <si>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Firma</t>
  </si>
  <si>
    <t xml:space="preserve">Druhotná umístění </t>
  </si>
  <si>
    <t xml:space="preserve">Nestlé </t>
  </si>
  <si>
    <t>Orkla</t>
  </si>
  <si>
    <t xml:space="preserve">2. 1. - 14. 1. 2026 </t>
  </si>
  <si>
    <t xml:space="preserve">Orkla </t>
  </si>
  <si>
    <t xml:space="preserve">16. 1. - 16. 2. 2026 </t>
  </si>
  <si>
    <t>PJ</t>
  </si>
  <si>
    <t xml:space="preserve">Datum </t>
  </si>
  <si>
    <t>204, 311, 371, 431, 461, 501, 561, 530</t>
  </si>
  <si>
    <t>202, 204, 205, 311, 371, 501, 521, 530, 551, 561, 208</t>
  </si>
  <si>
    <t>11. 2. - 24. 2. 2026</t>
  </si>
  <si>
    <t xml:space="preserve">Mars </t>
  </si>
  <si>
    <t xml:space="preserve">11. 3. - 11. 4. 2026 </t>
  </si>
  <si>
    <t>202, 208, 205, 521, 530</t>
  </si>
  <si>
    <t>301, 371, 431, 530, 521, 205, 561, 208, 311, 501, 202</t>
  </si>
  <si>
    <t xml:space="preserve">Dr. Oetker </t>
  </si>
  <si>
    <t xml:space="preserve">9. 3. - 9. 4. </t>
  </si>
  <si>
    <t xml:space="preserve">11. 3. - 11. 4.  </t>
  </si>
  <si>
    <t>208, 521, 205, 530, 461, 561, 202, 204, 071</t>
  </si>
  <si>
    <t>Kofola</t>
  </si>
  <si>
    <t xml:space="preserve">2. 3. - 5. 4. </t>
  </si>
  <si>
    <t xml:space="preserve">071, 190, 194, 204, 205, 208, 311, 521, 351, 530 </t>
  </si>
  <si>
    <t>Orkla Velikonoce</t>
  </si>
  <si>
    <t xml:space="preserve">8. 3. - 8. 4. </t>
  </si>
  <si>
    <t>202, 204, 205, 208, 311, 431, 490, 521, 530, 561</t>
  </si>
  <si>
    <t xml:space="preserve">Orkla - Májka 60 let </t>
  </si>
  <si>
    <t xml:space="preserve">9. 4. - 9. 5. </t>
  </si>
  <si>
    <t>202, 204, 205, 208, 194, 431, 371, 521, 530, 561</t>
  </si>
  <si>
    <t xml:space="preserve">11. 3. - 24. 3. </t>
  </si>
  <si>
    <t xml:space="preserve">25. 3. - 7. 4. </t>
  </si>
  <si>
    <t>204, 311, 371, 431, 461, 501, 561</t>
  </si>
  <si>
    <t xml:space="preserve">8. 4. - 21. 4. </t>
  </si>
  <si>
    <t xml:space="preserve">8. 4. - 3. 6. </t>
  </si>
  <si>
    <t>521, 208, 561, 351, 321, 205, 71, 182, 202, 490, 501, 481, 581, 441</t>
  </si>
  <si>
    <t xml:space="preserve">Plzeňský Prazdroj - Kozel 12 </t>
  </si>
  <si>
    <t xml:space="preserve">Intersnack </t>
  </si>
  <si>
    <t xml:space="preserve">1. 5. - 31. 5. </t>
  </si>
  <si>
    <t>71, 202, 204, 205, 208, 431, 521, 530, 561, 490</t>
  </si>
  <si>
    <t>Nestlé STP Bublinky</t>
  </si>
  <si>
    <t xml:space="preserve">Kofola - nulka </t>
  </si>
  <si>
    <t xml:space="preserve">1. 6. - 30. 6. </t>
  </si>
  <si>
    <t>71, 182, 190, 194, 204, 205, 208, 311, 521, 530</t>
  </si>
  <si>
    <t xml:space="preserve">Dr. Oetker želírování </t>
  </si>
  <si>
    <t>208, 521, 205, 530, 311, 461, 551, 490</t>
  </si>
  <si>
    <t xml:space="preserve">20. 5. - 20. 6. </t>
  </si>
  <si>
    <t xml:space="preserve">Mars - čokoláda </t>
  </si>
  <si>
    <t xml:space="preserve">20. 5. - 2. 6. </t>
  </si>
  <si>
    <t>301, 371, 530, 521, 205, 561, 208, 311, 501, 202</t>
  </si>
  <si>
    <t>Perfetti Van Melle - Mentos</t>
  </si>
  <si>
    <t>202, 205, 301, 208, 501, 371, 431, 521, 530, 551</t>
  </si>
  <si>
    <t xml:space="preserve">Orkla - grilování </t>
  </si>
  <si>
    <t>202, 204, 205, 208, 311, 431, 551, 521, 530, 561</t>
  </si>
  <si>
    <t>202, 208, 521, 530, 561</t>
  </si>
  <si>
    <t xml:space="preserve">Coca Cola </t>
  </si>
  <si>
    <t xml:space="preserve">8. 6. - 5. 7. </t>
  </si>
  <si>
    <t>Plzeňský Prazdroj - Frisco, Proud</t>
  </si>
  <si>
    <t xml:space="preserve">8. 6. - 2. 8. </t>
  </si>
  <si>
    <t>205, 208, 530</t>
  </si>
  <si>
    <t xml:space="preserve">17. 6. - 30. 6. </t>
  </si>
  <si>
    <t>202, 205, 521, 208</t>
  </si>
  <si>
    <t>Orkla Hotová jídla</t>
  </si>
  <si>
    <t xml:space="preserve">1. 7. - 31. 7. </t>
  </si>
  <si>
    <t>202, 204, 205, 208, 311, 431, 551, 521, 530, 561, 194, 371, 461, 501, 490</t>
  </si>
  <si>
    <t xml:space="preserve">Kofola - RAJEC 321 </t>
  </si>
  <si>
    <t xml:space="preserve">1. 8. - 31. 8. </t>
  </si>
  <si>
    <t>71, 190, 194, 204, 205, 208, 501, 521, 530, 551, 561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</si>
</sst>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 tint="-0.24994659260841701"/>
      <name val="Calibri"/>
      <family val="2"/>
      <scheme val="major"/>
    </font>
    <font>
      <b/>
      <sz val="18"/>
      <color theme="4" tint="-0.24994659260841701"/>
      <name val="Calibri"/>
      <family val="2"/>
      <scheme val="minor"/>
    </font>
    <font>
      <b/>
      <sz val="26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8999908444471571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theme="2" tint="-0.499984740745262"/>
      </bottom>
      <diagonal/>
    </border>
    <border>
      <left/>
      <right/>
      <top style="thin">
        <color theme="0" tint="-0.14996795556505021"/>
      </top>
      <bottom/>
      <diagonal/>
    </border>
  </borders>
  <cellStyleXfs count="49">
    <xf numFmtId="0" fontId="0" fillId="0" borderId="0">
      <alignment horizontal="left" vertical="center"/>
    </xf>
    <xf numFmtId="0" fontId="6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5" fillId="2" borderId="0" applyNumberFormat="0" applyBorder="0" applyProtection="0">
      <alignment horizontal="center" vertical="center"/>
    </xf>
    <xf numFmtId="0" fontId="2" fillId="20" borderId="0" applyNumberFormat="0" applyProtection="0">
      <alignment horizontal="right" vertical="center" indent="1"/>
    </xf>
    <xf numFmtId="0" fontId="1" fillId="0" borderId="0" applyNumberFormat="0" applyFill="0" applyBorder="0" applyProtection="0">
      <alignment horizontal="left" vertical="center" indent="2"/>
    </xf>
    <xf numFmtId="0" fontId="3" fillId="3" borderId="0" applyNumberFormat="0" applyBorder="0" applyAlignment="0" applyProtection="0"/>
    <xf numFmtId="0" fontId="1" fillId="4" borderId="0" applyNumberFormat="0" applyBorder="0" applyProtection="0">
      <alignment horizontal="center" vertical="center"/>
    </xf>
    <xf numFmtId="0" fontId="2" fillId="9" borderId="0" applyNumberFormat="0" applyBorder="0" applyAlignment="0" applyProtection="0"/>
    <xf numFmtId="0" fontId="1" fillId="5" borderId="0" applyNumberFormat="0" applyBorder="0" applyAlignment="0" applyProtection="0"/>
    <xf numFmtId="0" fontId="3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15" borderId="0" applyNumberFormat="0" applyBorder="0" applyAlignment="0" applyProtection="0"/>
    <xf numFmtId="0" fontId="1" fillId="8" borderId="0" applyNumberFormat="0" applyBorder="0" applyAlignment="0" applyProtection="0"/>
    <xf numFmtId="0" fontId="3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2" borderId="0" applyNumberFormat="0" applyBorder="0" applyAlignment="0" applyProtection="0"/>
    <xf numFmtId="0" fontId="2" fillId="12" borderId="0" applyNumberFormat="0" applyBorder="0" applyProtection="0">
      <alignment horizontal="left" vertical="center" indent="1"/>
    </xf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" fontId="1" fillId="0" borderId="0" applyFill="0" applyBorder="0" applyProtection="0">
      <alignment horizontal="center" vertical="center"/>
    </xf>
    <xf numFmtId="0" fontId="1" fillId="0" borderId="0" applyNumberFormat="0" applyFill="0" applyBorder="0">
      <alignment horizontal="left" vertical="center" wrapText="1" indent="2"/>
    </xf>
    <xf numFmtId="0" fontId="7" fillId="0" borderId="0">
      <alignment horizont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1" applyNumberFormat="0" applyAlignment="0" applyProtection="0"/>
    <xf numFmtId="0" fontId="13" fillId="25" borderId="2" applyNumberFormat="0" applyAlignment="0" applyProtection="0"/>
    <xf numFmtId="0" fontId="14" fillId="25" borderId="1" applyNumberFormat="0" applyAlignment="0" applyProtection="0"/>
    <xf numFmtId="0" fontId="15" fillId="0" borderId="3" applyNumberFormat="0" applyFill="0" applyAlignment="0" applyProtection="0"/>
    <xf numFmtId="0" fontId="16" fillId="26" borderId="4" applyNumberFormat="0" applyAlignment="0" applyProtection="0"/>
    <xf numFmtId="0" fontId="17" fillId="0" borderId="0" applyNumberFormat="0" applyFill="0" applyBorder="0" applyAlignment="0" applyProtection="0"/>
    <xf numFmtId="0" fontId="1" fillId="27" borderId="5" applyNumberFormat="0" applyFont="0" applyAlignment="0" applyProtection="0"/>
    <xf numFmtId="0" fontId="18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1" fontId="1" fillId="0" borderId="0" xfId="25" applyFill="1" applyBorder="1" applyProtection="1">
      <alignment horizontal="center" vertical="center"/>
    </xf>
    <xf numFmtId="0" fontId="5" fillId="2" borderId="0" xfId="3" applyProtection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0" borderId="0" xfId="1" applyProtection="1">
      <alignment vertical="top"/>
    </xf>
    <xf numFmtId="0" fontId="1" fillId="2" borderId="0" xfId="21" applyBorder="1" applyAlignment="1" applyProtection="1">
      <alignment horizontal="left" vertical="center" indent="1"/>
    </xf>
    <xf numFmtId="0" fontId="0" fillId="0" borderId="0" xfId="2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27">
      <alignment horizont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6" fillId="0" borderId="0" xfId="1" applyAlignment="1" applyProtection="1">
      <alignment horizontal="left" vertical="center"/>
    </xf>
    <xf numFmtId="0" fontId="0" fillId="0" borderId="7" xfId="0" applyBorder="1">
      <alignment horizontal="left" vertical="center"/>
    </xf>
    <xf numFmtId="0" fontId="6" fillId="0" borderId="0" xfId="1" applyAlignment="1" applyProtection="1">
      <alignment vertical="center"/>
    </xf>
    <xf numFmtId="166" fontId="0" fillId="33" borderId="9" xfId="0" applyNumberFormat="1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2" borderId="6" xfId="21" applyFont="1" applyBorder="1" applyAlignment="1">
      <alignment horizontal="center" vertical="center"/>
    </xf>
    <xf numFmtId="1" fontId="0" fillId="0" borderId="8" xfId="25" applyFont="1" applyFill="1" applyBorder="1">
      <alignment horizontal="center" vertical="center"/>
    </xf>
    <xf numFmtId="0" fontId="5" fillId="2" borderId="0" xfId="3" applyAlignment="1" applyProtection="1">
      <alignment horizontal="center" wrapText="1"/>
    </xf>
    <xf numFmtId="0" fontId="5" fillId="2" borderId="0" xfId="3" applyAlignment="1" applyProtection="1">
      <alignment wrapText="1"/>
    </xf>
    <xf numFmtId="0" fontId="1" fillId="2" borderId="0" xfId="21" applyBorder="1" applyAlignment="1" applyProtection="1">
      <alignment horizontal="center" vertical="center"/>
    </xf>
    <xf numFmtId="0" fontId="5" fillId="2" borderId="0" xfId="3" applyAlignment="1" applyProtection="1">
      <alignment horizontal="center" vertical="center" wrapText="1"/>
    </xf>
    <xf numFmtId="1" fontId="0" fillId="0" borderId="8" xfId="25" applyFont="1" applyFill="1" applyBorder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5" fillId="2" borderId="0" xfId="3" applyAlignment="1" applyProtection="1">
      <alignment vertical="center" wrapText="1"/>
    </xf>
    <xf numFmtId="0" fontId="5" fillId="2" borderId="0" xfId="3" applyAlignment="1" applyProtection="1">
      <alignment vertical="center"/>
    </xf>
    <xf numFmtId="0" fontId="0" fillId="40" borderId="0" xfId="0" applyFill="1" applyAlignment="1">
      <alignment horizontal="center" vertical="center"/>
    </xf>
    <xf numFmtId="0" fontId="0" fillId="41" borderId="0" xfId="0" applyFill="1" applyAlignment="1">
      <alignment horizontal="center" vertical="center"/>
    </xf>
    <xf numFmtId="1" fontId="0" fillId="0" borderId="10" xfId="25" applyFont="1" applyFill="1" applyBorder="1">
      <alignment horizontal="center" vertical="center"/>
    </xf>
    <xf numFmtId="0" fontId="1" fillId="0" borderId="0" xfId="26" applyNumberFormat="1" applyFill="1" applyAlignment="1">
      <alignment vertical="center" wrapText="1"/>
    </xf>
    <xf numFmtId="0" fontId="0" fillId="42" borderId="0" xfId="0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1" fillId="2" borderId="0" xfId="21" applyBorder="1" applyAlignment="1" applyProtection="1"/>
    <xf numFmtId="0" fontId="1" fillId="2" borderId="0" xfId="21" applyBorder="1" applyAlignment="1" applyProtection="1">
      <alignment vertical="center"/>
    </xf>
    <xf numFmtId="0" fontId="0" fillId="44" borderId="0" xfId="0" applyFill="1" applyAlignment="1">
      <alignment horizontal="center" vertical="center"/>
    </xf>
    <xf numFmtId="1" fontId="0" fillId="0" borderId="10" xfId="25" applyFont="1" applyFill="1" applyBorder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0" fontId="0" fillId="46" borderId="0" xfId="0" applyFill="1" applyAlignment="1">
      <alignment horizontal="center" vertical="center"/>
    </xf>
    <xf numFmtId="0" fontId="0" fillId="47" borderId="0" xfId="0" applyFill="1" applyAlignment="1">
      <alignment horizontal="center" vertical="center"/>
    </xf>
    <xf numFmtId="0" fontId="0" fillId="48" borderId="0" xfId="0" applyFill="1" applyAlignment="1">
      <alignment horizontal="center" vertical="center"/>
    </xf>
    <xf numFmtId="0" fontId="0" fillId="49" borderId="0" xfId="0" applyFill="1" applyAlignment="1">
      <alignment horizontal="center" vertical="center"/>
    </xf>
    <xf numFmtId="0" fontId="1" fillId="0" borderId="0" xfId="26" applyNumberFormat="1" applyFill="1">
      <alignment horizontal="left" vertical="center" wrapText="1" indent="2"/>
    </xf>
    <xf numFmtId="0" fontId="0" fillId="50" borderId="0" xfId="0" applyFill="1" applyAlignment="1">
      <alignment horizontal="center" vertical="center"/>
    </xf>
    <xf numFmtId="0" fontId="0" fillId="51" borderId="0" xfId="0" applyFill="1" applyAlignment="1">
      <alignment horizontal="center" vertical="center"/>
    </xf>
    <xf numFmtId="0" fontId="1" fillId="0" borderId="0" xfId="26" applyNumberFormat="1" applyFill="1" applyAlignment="1">
      <alignment wrapText="1"/>
    </xf>
    <xf numFmtId="0" fontId="0" fillId="52" borderId="0" xfId="0" applyFill="1" applyAlignment="1">
      <alignment horizontal="center" vertical="center"/>
    </xf>
    <xf numFmtId="0" fontId="1" fillId="0" borderId="0" xfId="26" applyNumberFormat="1" applyFill="1" applyAlignment="1">
      <alignment vertical="top" wrapText="1"/>
    </xf>
    <xf numFmtId="0" fontId="0" fillId="53" borderId="0" xfId="0" applyFill="1" applyAlignment="1">
      <alignment horizontal="center" vertical="center"/>
    </xf>
    <xf numFmtId="0" fontId="0" fillId="54" borderId="0" xfId="0" applyFill="1" applyAlignment="1">
      <alignment horizontal="center" vertical="center"/>
    </xf>
    <xf numFmtId="0" fontId="0" fillId="5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0" xfId="3" applyProtection="1">
      <alignment horizontal="center" vertical="center"/>
    </xf>
    <xf numFmtId="1" fontId="0" fillId="0" borderId="8" xfId="25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9">
    <cellStyle name="20 % – Zvýraznění 1" xfId="15" builtinId="30" customBuiltin="1"/>
    <cellStyle name="20 % – Zvýraznění 2" xfId="44" builtinId="34" customBuiltin="1"/>
    <cellStyle name="20 % – Zvýraznění 3" xfId="21" builtinId="38" customBuiltin="1"/>
    <cellStyle name="20 % – Zvýraznění 4" xfId="7" builtinId="42" customBuiltin="1"/>
    <cellStyle name="20 % – Zvýraznění 5" xfId="47" builtinId="46" customBuiltin="1"/>
    <cellStyle name="20 % – Zvýraznění 6" xfId="11" builtinId="50" customBuiltin="1"/>
    <cellStyle name="40 % – Zvýraznění 1" xfId="16" builtinId="31" customBuiltin="1"/>
    <cellStyle name="40 % – Zvýraznění 2" xfId="19" builtinId="35" customBuiltin="1"/>
    <cellStyle name="40 % – Zvýraznění 3" xfId="22" builtinId="39" customBuiltin="1"/>
    <cellStyle name="40 % – Zvýraznění 4" xfId="8" builtinId="43" customBuiltin="1"/>
    <cellStyle name="40 % – Zvýraznění 5" xfId="24" builtinId="47" customBuiltin="1"/>
    <cellStyle name="40 % – Zvýraznění 6" xfId="12" builtinId="51" customBuiltin="1"/>
    <cellStyle name="60 % – Zvýraznění 1" xfId="17" builtinId="32" customBuiltin="1"/>
    <cellStyle name="60 % – Zvýraznění 2" xfId="45" builtinId="36" customBuiltin="1"/>
    <cellStyle name="60 % – Zvýraznění 3" xfId="23" builtinId="40" customBuiltin="1"/>
    <cellStyle name="60 % – Zvýraznění 4" xfId="9" builtinId="44" customBuiltin="1"/>
    <cellStyle name="60 % – Zvýraznění 5" xfId="48" builtinId="48" customBuiltin="1"/>
    <cellStyle name="60 % – Zvýraznění 6" xfId="13" builtinId="52" customBuiltin="1"/>
    <cellStyle name="Celkem" xfId="25" builtinId="25" customBuiltin="1"/>
    <cellStyle name="Čárka" xfId="28" builtinId="3" customBuiltin="1"/>
    <cellStyle name="Čárky bez des. míst" xfId="29" builtinId="6" customBuiltin="1"/>
    <cellStyle name="Kontrolní buňka" xfId="40" builtinId="23" customBuiltin="1"/>
    <cellStyle name="Měna" xfId="30" builtinId="4" customBuiltin="1"/>
    <cellStyle name="Měny bez des. míst" xfId="31" builtinId="7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35" builtinId="28" customBuiltin="1"/>
    <cellStyle name="Normální" xfId="0" builtinId="0" customBuiltin="1"/>
    <cellStyle name="Popisek" xfId="27" xr:uid="{00000000-0005-0000-0000-000018000000}"/>
    <cellStyle name="Poznámka" xfId="42" builtinId="10" customBuiltin="1"/>
    <cellStyle name="Procenta" xfId="32" builtinId="5" customBuiltin="1"/>
    <cellStyle name="Propojená buňka" xfId="39" builtinId="24" customBuiltin="1"/>
    <cellStyle name="Správně" xfId="33" builtinId="26" customBuiltin="1"/>
    <cellStyle name="Špatně" xfId="34" builtinId="27" customBuiltin="1"/>
    <cellStyle name="Text upozornění" xfId="41" builtinId="11" customBuiltin="1"/>
    <cellStyle name="Vstup" xfId="36" builtinId="20" customBuiltin="1"/>
    <cellStyle name="Výpočet" xfId="38" builtinId="22" customBuiltin="1"/>
    <cellStyle name="Výstup" xfId="37" builtinId="21" customBuiltin="1"/>
    <cellStyle name="Vysvětlující text" xfId="43" builtinId="53" customBuiltin="1"/>
    <cellStyle name="Zaměstnanec" xfId="26" xr:uid="{00000000-0005-0000-0000-000013000000}"/>
    <cellStyle name="Zvýraznění 1" xfId="14" builtinId="29" customBuiltin="1"/>
    <cellStyle name="Zvýraznění 2" xfId="18" builtinId="33" customBuiltin="1"/>
    <cellStyle name="Zvýraznění 3" xfId="20" builtinId="37" customBuiltin="1"/>
    <cellStyle name="Zvýraznění 4" xfId="6" builtinId="41" customBuiltin="1"/>
    <cellStyle name="Zvýraznění 5" xfId="46" builtinId="45" customBuiltin="1"/>
    <cellStyle name="Zvýraznění 6" xfId="10" builtinId="49" customBuiltin="1"/>
  </cellStyles>
  <dxfs count="912"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PivotStyle="PivotStyleLight16">
    <tableStyle name="Tabulka nepřítomnosti zaměstnanců" pivot="0" count="13" xr9:uid="{00000000-0011-0000-FFFF-FFFF00000000}">
      <tableStyleElement type="wholeTable" dxfId="911"/>
      <tableStyleElement type="headerRow" dxfId="910"/>
      <tableStyleElement type="totalRow" dxfId="909"/>
      <tableStyleElement type="firstColumn" dxfId="908"/>
      <tableStyleElement type="lastColumn" dxfId="907"/>
      <tableStyleElement type="firstRowStripe" dxfId="906"/>
      <tableStyleElement type="secondRowStripe" dxfId="905"/>
      <tableStyleElement type="firstColumnStripe" dxfId="904"/>
      <tableStyleElement type="secondColumnStripe" dxfId="903"/>
      <tableStyleElement type="firstHeaderCell" dxfId="902"/>
      <tableStyleElement type="lastHeaderCell" dxfId="901"/>
      <tableStyleElement type="firstTotalCell" dxfId="900"/>
      <tableStyleElement type="lastTotalCell" dxfId="8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eden" displayName="Leden" ref="B5:AH11" totalsRowCount="1" headerRowDxfId="829" dataDxfId="828" totalsRowDxfId="827">
  <autoFilter ref="B5:AH1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Firma" dataDxfId="826" totalsRowDxfId="825" dataCellStyle="Zaměstnanec"/>
    <tableColumn id="2" xr3:uid="{00000000-0010-0000-0000-000002000000}" name="1" totalsRowFunction="custom" dataDxfId="824" totalsRowDxfId="823">
      <totalsRowFormula>SUBTOTAL(103,Leden!$C$6:$C$10)</totalsRowFormula>
    </tableColumn>
    <tableColumn id="3" xr3:uid="{00000000-0010-0000-0000-000003000000}" name="2" totalsRowFunction="custom" dataDxfId="822" totalsRowDxfId="821">
      <totalsRowFormula>SUBTOTAL(103,Leden!$D$6:$D$10)</totalsRowFormula>
    </tableColumn>
    <tableColumn id="4" xr3:uid="{00000000-0010-0000-0000-000004000000}" name="3" dataDxfId="820" totalsRowDxfId="819"/>
    <tableColumn id="5" xr3:uid="{00000000-0010-0000-0000-000005000000}" name="4" dataDxfId="818" totalsRowDxfId="817"/>
    <tableColumn id="6" xr3:uid="{00000000-0010-0000-0000-000006000000}" name="5" totalsRowDxfId="816"/>
    <tableColumn id="7" xr3:uid="{00000000-0010-0000-0000-000007000000}" name="6" dataDxfId="815" totalsRowDxfId="814"/>
    <tableColumn id="8" xr3:uid="{00000000-0010-0000-0000-000008000000}" name="7" dataDxfId="813" totalsRowDxfId="812"/>
    <tableColumn id="9" xr3:uid="{00000000-0010-0000-0000-000009000000}" name="8" dataDxfId="811" totalsRowDxfId="810"/>
    <tableColumn id="10" xr3:uid="{00000000-0010-0000-0000-00000A000000}" name="9" dataDxfId="809" totalsRowDxfId="808"/>
    <tableColumn id="11" xr3:uid="{00000000-0010-0000-0000-00000B000000}" name="10" dataDxfId="807" totalsRowDxfId="806"/>
    <tableColumn id="12" xr3:uid="{00000000-0010-0000-0000-00000C000000}" name="11" dataDxfId="805" totalsRowDxfId="804"/>
    <tableColumn id="13" xr3:uid="{00000000-0010-0000-0000-00000D000000}" name="12" dataDxfId="803" totalsRowDxfId="802"/>
    <tableColumn id="14" xr3:uid="{00000000-0010-0000-0000-00000E000000}" name="13" dataDxfId="801" totalsRowDxfId="800"/>
    <tableColumn id="15" xr3:uid="{00000000-0010-0000-0000-00000F000000}" name="14" dataDxfId="799" totalsRowDxfId="798"/>
    <tableColumn id="16" xr3:uid="{00000000-0010-0000-0000-000010000000}" name="15" dataDxfId="797" totalsRowDxfId="796"/>
    <tableColumn id="17" xr3:uid="{00000000-0010-0000-0000-000011000000}" name="16" dataDxfId="795" totalsRowDxfId="794"/>
    <tableColumn id="18" xr3:uid="{00000000-0010-0000-0000-000012000000}" name="17" dataDxfId="793" totalsRowDxfId="792"/>
    <tableColumn id="19" xr3:uid="{00000000-0010-0000-0000-000013000000}" name="18" dataDxfId="791" totalsRowDxfId="790"/>
    <tableColumn id="20" xr3:uid="{00000000-0010-0000-0000-000014000000}" name="19" dataDxfId="789" totalsRowDxfId="788"/>
    <tableColumn id="21" xr3:uid="{00000000-0010-0000-0000-000015000000}" name="20" dataDxfId="787" totalsRowDxfId="786"/>
    <tableColumn id="22" xr3:uid="{00000000-0010-0000-0000-000016000000}" name="21" dataDxfId="785" totalsRowDxfId="784"/>
    <tableColumn id="23" xr3:uid="{00000000-0010-0000-0000-000017000000}" name="22" dataDxfId="783" totalsRowDxfId="782"/>
    <tableColumn id="24" xr3:uid="{00000000-0010-0000-0000-000018000000}" name="23" dataDxfId="781" totalsRowDxfId="780"/>
    <tableColumn id="25" xr3:uid="{00000000-0010-0000-0000-000019000000}" name="24" dataDxfId="779" totalsRowDxfId="778"/>
    <tableColumn id="26" xr3:uid="{00000000-0010-0000-0000-00001A000000}" name="25" dataDxfId="777" totalsRowDxfId="776"/>
    <tableColumn id="27" xr3:uid="{00000000-0010-0000-0000-00001B000000}" name="26" dataDxfId="775" totalsRowDxfId="774"/>
    <tableColumn id="28" xr3:uid="{00000000-0010-0000-0000-00001C000000}" name="27" dataDxfId="773" totalsRowDxfId="772"/>
    <tableColumn id="29" xr3:uid="{00000000-0010-0000-0000-00001D000000}" name="28" dataDxfId="771" totalsRowDxfId="770"/>
    <tableColumn id="30" xr3:uid="{00000000-0010-0000-0000-00001E000000}" name="29" dataDxfId="769" totalsRowDxfId="768"/>
    <tableColumn id="31" xr3:uid="{00000000-0010-0000-0000-00001F000000}" name="30" dataDxfId="767" totalsRowDxfId="766"/>
    <tableColumn id="32" xr3:uid="{00000000-0010-0000-0000-000020000000}" name="31" dataDxfId="765" totalsRowDxfId="764"/>
    <tableColumn id="33" xr3:uid="{00000000-0010-0000-0000-000021000000}" name="Datum " dataDxfId="763" totalsRowDxfId="762" dataCellStyle="Celkem"/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Říjen" displayName="Říjen" ref="B5:AH11" totalsRowCount="1" headerRowDxfId="311" dataDxfId="310" totalsRowDxfId="309">
  <tableColumns count="33">
    <tableColumn id="1" xr3:uid="{00000000-0010-0000-0900-000001000000}" name="Firma" dataDxfId="308" totalsRowDxfId="307" dataCellStyle="Zaměstnanec"/>
    <tableColumn id="2" xr3:uid="{00000000-0010-0000-0900-000002000000}" name="1" totalsRowFunction="count" dataDxfId="306" totalsRowDxfId="305"/>
    <tableColumn id="3" xr3:uid="{00000000-0010-0000-0900-000003000000}" name="2" totalsRowFunction="count" dataDxfId="304" totalsRowDxfId="303"/>
    <tableColumn id="4" xr3:uid="{00000000-0010-0000-0900-000004000000}" name="3" totalsRowFunction="count" dataDxfId="302" totalsRowDxfId="301"/>
    <tableColumn id="5" xr3:uid="{00000000-0010-0000-0900-000005000000}" name="4" totalsRowFunction="count" dataDxfId="300" totalsRowDxfId="299"/>
    <tableColumn id="6" xr3:uid="{00000000-0010-0000-0900-000006000000}" name="5" totalsRowFunction="count" dataDxfId="298" totalsRowDxfId="297"/>
    <tableColumn id="7" xr3:uid="{00000000-0010-0000-0900-000007000000}" name="6" totalsRowFunction="count" dataDxfId="296" totalsRowDxfId="295"/>
    <tableColumn id="8" xr3:uid="{00000000-0010-0000-0900-000008000000}" name="7" totalsRowFunction="count" dataDxfId="294" totalsRowDxfId="293"/>
    <tableColumn id="9" xr3:uid="{00000000-0010-0000-0900-000009000000}" name="8" totalsRowFunction="count" dataDxfId="292" totalsRowDxfId="291"/>
    <tableColumn id="10" xr3:uid="{00000000-0010-0000-0900-00000A000000}" name="9" totalsRowFunction="count" dataDxfId="290" totalsRowDxfId="289"/>
    <tableColumn id="11" xr3:uid="{00000000-0010-0000-0900-00000B000000}" name="10" totalsRowFunction="count" dataDxfId="288" totalsRowDxfId="287"/>
    <tableColumn id="12" xr3:uid="{00000000-0010-0000-0900-00000C000000}" name="11" totalsRowFunction="count" dataDxfId="286" totalsRowDxfId="285"/>
    <tableColumn id="13" xr3:uid="{00000000-0010-0000-0900-00000D000000}" name="12" totalsRowFunction="count" dataDxfId="284" totalsRowDxfId="283"/>
    <tableColumn id="14" xr3:uid="{00000000-0010-0000-0900-00000E000000}" name="13" totalsRowFunction="count" dataDxfId="282" totalsRowDxfId="281"/>
    <tableColumn id="15" xr3:uid="{00000000-0010-0000-0900-00000F000000}" name="14" totalsRowFunction="count" dataDxfId="280" totalsRowDxfId="279"/>
    <tableColumn id="16" xr3:uid="{00000000-0010-0000-0900-000010000000}" name="15" totalsRowFunction="count" dataDxfId="278" totalsRowDxfId="277"/>
    <tableColumn id="17" xr3:uid="{00000000-0010-0000-0900-000011000000}" name="16" totalsRowFunction="count" dataDxfId="276" totalsRowDxfId="275"/>
    <tableColumn id="18" xr3:uid="{00000000-0010-0000-0900-000012000000}" name="17" totalsRowFunction="count" dataDxfId="274" totalsRowDxfId="273"/>
    <tableColumn id="19" xr3:uid="{00000000-0010-0000-0900-000013000000}" name="18" totalsRowFunction="count" dataDxfId="272" totalsRowDxfId="271"/>
    <tableColumn id="20" xr3:uid="{00000000-0010-0000-0900-000014000000}" name="19" totalsRowFunction="count" dataDxfId="270" totalsRowDxfId="269"/>
    <tableColumn id="21" xr3:uid="{00000000-0010-0000-0900-000015000000}" name="20" totalsRowFunction="count" dataDxfId="268" totalsRowDxfId="267"/>
    <tableColumn id="22" xr3:uid="{00000000-0010-0000-0900-000016000000}" name="21" totalsRowFunction="count" dataDxfId="266" totalsRowDxfId="265"/>
    <tableColumn id="23" xr3:uid="{00000000-0010-0000-0900-000017000000}" name="22" totalsRowFunction="count" dataDxfId="264" totalsRowDxfId="263"/>
    <tableColumn id="24" xr3:uid="{00000000-0010-0000-0900-000018000000}" name="23" totalsRowFunction="count" dataDxfId="262" totalsRowDxfId="261"/>
    <tableColumn id="25" xr3:uid="{00000000-0010-0000-0900-000019000000}" name="24" totalsRowFunction="count" dataDxfId="260" totalsRowDxfId="259"/>
    <tableColumn id="26" xr3:uid="{00000000-0010-0000-0900-00001A000000}" name="25" totalsRowFunction="count" dataDxfId="258" totalsRowDxfId="257"/>
    <tableColumn id="27" xr3:uid="{00000000-0010-0000-0900-00001B000000}" name="26" totalsRowFunction="count" dataDxfId="256" totalsRowDxfId="255"/>
    <tableColumn id="28" xr3:uid="{00000000-0010-0000-0900-00001C000000}" name="27" totalsRowFunction="count" dataDxfId="254" totalsRowDxfId="253"/>
    <tableColumn id="29" xr3:uid="{00000000-0010-0000-0900-00001D000000}" name="28" totalsRowFunction="count" dataDxfId="252" totalsRowDxfId="251"/>
    <tableColumn id="30" xr3:uid="{00000000-0010-0000-0900-00001E000000}" name="29" totalsRowFunction="count" dataDxfId="250" totalsRowDxfId="249"/>
    <tableColumn id="31" xr3:uid="{00000000-0010-0000-0900-00001F000000}" name="30" totalsRowFunction="count" dataDxfId="248" totalsRowDxfId="247"/>
    <tableColumn id="32" xr3:uid="{00000000-0010-0000-0900-000020000000}" name="31" totalsRowFunction="count" dataDxfId="246" totalsRowDxfId="245"/>
    <tableColumn id="33" xr3:uid="{00000000-0010-0000-0900-000021000000}" name="Datum " totalsRowFunction="sum" dataDxfId="244" totalsRowDxfId="243" dataCellStyle="Celkem">
      <calculatedColumnFormula>COUNTA(Říjen[[#This Row],[1]:[31]])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Listopad" displayName="Listopad" ref="B5:AH11" totalsRowCount="1" headerRowDxfId="242" dataDxfId="241" totalsRowDxfId="240">
  <tableColumns count="33">
    <tableColumn id="1" xr3:uid="{00000000-0010-0000-0A00-000001000000}" name="Firma" dataDxfId="239" totalsRowDxfId="238" dataCellStyle="Zaměstnanec"/>
    <tableColumn id="2" xr3:uid="{00000000-0010-0000-0A00-000002000000}" name="1" totalsRowFunction="count" dataDxfId="237" totalsRowDxfId="236"/>
    <tableColumn id="3" xr3:uid="{00000000-0010-0000-0A00-000003000000}" name="2" totalsRowFunction="count" dataDxfId="235" totalsRowDxfId="234"/>
    <tableColumn id="4" xr3:uid="{00000000-0010-0000-0A00-000004000000}" name="3" totalsRowFunction="count" dataDxfId="233" totalsRowDxfId="232"/>
    <tableColumn id="5" xr3:uid="{00000000-0010-0000-0A00-000005000000}" name="4" totalsRowFunction="count" dataDxfId="231" totalsRowDxfId="230"/>
    <tableColumn id="6" xr3:uid="{00000000-0010-0000-0A00-000006000000}" name="5" totalsRowFunction="count" dataDxfId="229" totalsRowDxfId="228"/>
    <tableColumn id="7" xr3:uid="{00000000-0010-0000-0A00-000007000000}" name="6" totalsRowFunction="count" dataDxfId="227" totalsRowDxfId="226"/>
    <tableColumn id="8" xr3:uid="{00000000-0010-0000-0A00-000008000000}" name="7" totalsRowFunction="count" dataDxfId="225" totalsRowDxfId="224"/>
    <tableColumn id="9" xr3:uid="{00000000-0010-0000-0A00-000009000000}" name="8" totalsRowFunction="count" dataDxfId="223" totalsRowDxfId="222"/>
    <tableColumn id="10" xr3:uid="{00000000-0010-0000-0A00-00000A000000}" name="9" totalsRowFunction="count" dataDxfId="221" totalsRowDxfId="220"/>
    <tableColumn id="11" xr3:uid="{00000000-0010-0000-0A00-00000B000000}" name="10" totalsRowFunction="count" dataDxfId="219" totalsRowDxfId="218"/>
    <tableColumn id="12" xr3:uid="{00000000-0010-0000-0A00-00000C000000}" name="11" totalsRowFunction="count" dataDxfId="217" totalsRowDxfId="216"/>
    <tableColumn id="13" xr3:uid="{00000000-0010-0000-0A00-00000D000000}" name="12" totalsRowFunction="count" dataDxfId="215" totalsRowDxfId="214"/>
    <tableColumn id="14" xr3:uid="{00000000-0010-0000-0A00-00000E000000}" name="13" totalsRowFunction="count" dataDxfId="213" totalsRowDxfId="212"/>
    <tableColumn id="15" xr3:uid="{00000000-0010-0000-0A00-00000F000000}" name="14" totalsRowFunction="count" dataDxfId="211" totalsRowDxfId="210"/>
    <tableColumn id="16" xr3:uid="{00000000-0010-0000-0A00-000010000000}" name="15" totalsRowFunction="count" dataDxfId="209" totalsRowDxfId="208"/>
    <tableColumn id="17" xr3:uid="{00000000-0010-0000-0A00-000011000000}" name="16" totalsRowFunction="count" dataDxfId="207" totalsRowDxfId="206"/>
    <tableColumn id="18" xr3:uid="{00000000-0010-0000-0A00-000012000000}" name="17" totalsRowFunction="count" dataDxfId="205" totalsRowDxfId="204"/>
    <tableColumn id="19" xr3:uid="{00000000-0010-0000-0A00-000013000000}" name="18" totalsRowFunction="count" dataDxfId="203" totalsRowDxfId="202"/>
    <tableColumn id="20" xr3:uid="{00000000-0010-0000-0A00-000014000000}" name="19" totalsRowFunction="count" dataDxfId="201" totalsRowDxfId="200"/>
    <tableColumn id="21" xr3:uid="{00000000-0010-0000-0A00-000015000000}" name="20" totalsRowFunction="count" dataDxfId="199" totalsRowDxfId="198"/>
    <tableColumn id="22" xr3:uid="{00000000-0010-0000-0A00-000016000000}" name="21" totalsRowFunction="count" dataDxfId="197" totalsRowDxfId="196"/>
    <tableColumn id="23" xr3:uid="{00000000-0010-0000-0A00-000017000000}" name="22" totalsRowFunction="count" dataDxfId="195" totalsRowDxfId="194"/>
    <tableColumn id="24" xr3:uid="{00000000-0010-0000-0A00-000018000000}" name="23" totalsRowFunction="count" dataDxfId="193" totalsRowDxfId="192"/>
    <tableColumn id="25" xr3:uid="{00000000-0010-0000-0A00-000019000000}" name="24" totalsRowFunction="count" dataDxfId="191" totalsRowDxfId="190"/>
    <tableColumn id="26" xr3:uid="{00000000-0010-0000-0A00-00001A000000}" name="25" totalsRowFunction="count" dataDxfId="189" totalsRowDxfId="188"/>
    <tableColumn id="27" xr3:uid="{00000000-0010-0000-0A00-00001B000000}" name="26" totalsRowFunction="count" dataDxfId="187" totalsRowDxfId="186"/>
    <tableColumn id="28" xr3:uid="{00000000-0010-0000-0A00-00001C000000}" name="27" totalsRowFunction="count" dataDxfId="185" totalsRowDxfId="184"/>
    <tableColumn id="29" xr3:uid="{00000000-0010-0000-0A00-00001D000000}" name="28" totalsRowFunction="count" dataDxfId="183" totalsRowDxfId="182"/>
    <tableColumn id="30" xr3:uid="{00000000-0010-0000-0A00-00001E000000}" name="29" totalsRowFunction="count" dataDxfId="181" totalsRowDxfId="180"/>
    <tableColumn id="31" xr3:uid="{00000000-0010-0000-0A00-00001F000000}" name="30" totalsRowFunction="count" dataDxfId="179" totalsRowDxfId="178"/>
    <tableColumn id="32" xr3:uid="{00000000-0010-0000-0A00-000020000000}" name=" " totalsRowFunction="count" dataDxfId="177" totalsRowDxfId="176"/>
    <tableColumn id="33" xr3:uid="{00000000-0010-0000-0A00-000021000000}" name="Datum " totalsRowFunction="sum" dataDxfId="175" totalsRowDxfId="174" dataCellStyle="Celkem">
      <calculatedColumnFormula>COUNTA(Listopad[[#This Row],[1]:[30]])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rosinec" displayName="Prosinec" ref="B5:AH11" totalsRowCount="1" headerRowDxfId="173" dataDxfId="172" totalsRowDxfId="171">
  <tableColumns count="33">
    <tableColumn id="1" xr3:uid="{00000000-0010-0000-0B00-000001000000}" name="Firma" dataDxfId="170" totalsRowDxfId="169" dataCellStyle="Zaměstnanec"/>
    <tableColumn id="2" xr3:uid="{00000000-0010-0000-0B00-000002000000}" name="1" totalsRowFunction="count" dataDxfId="168" totalsRowDxfId="167"/>
    <tableColumn id="3" xr3:uid="{00000000-0010-0000-0B00-000003000000}" name="2" totalsRowFunction="count" dataDxfId="166" totalsRowDxfId="165"/>
    <tableColumn id="4" xr3:uid="{00000000-0010-0000-0B00-000004000000}" name="3" totalsRowFunction="count" dataDxfId="164" totalsRowDxfId="163"/>
    <tableColumn id="5" xr3:uid="{00000000-0010-0000-0B00-000005000000}" name="4" totalsRowFunction="count" dataDxfId="162" totalsRowDxfId="161"/>
    <tableColumn id="6" xr3:uid="{00000000-0010-0000-0B00-000006000000}" name="5" totalsRowFunction="count" dataDxfId="160" totalsRowDxfId="159"/>
    <tableColumn id="7" xr3:uid="{00000000-0010-0000-0B00-000007000000}" name="6" totalsRowFunction="count" dataDxfId="158" totalsRowDxfId="157"/>
    <tableColumn id="8" xr3:uid="{00000000-0010-0000-0B00-000008000000}" name="7" totalsRowFunction="count" dataDxfId="156" totalsRowDxfId="155"/>
    <tableColumn id="9" xr3:uid="{00000000-0010-0000-0B00-000009000000}" name="8" totalsRowFunction="count" dataDxfId="154" totalsRowDxfId="153"/>
    <tableColumn id="10" xr3:uid="{00000000-0010-0000-0B00-00000A000000}" name="9" totalsRowFunction="count" dataDxfId="152" totalsRowDxfId="151"/>
    <tableColumn id="11" xr3:uid="{00000000-0010-0000-0B00-00000B000000}" name="10" totalsRowFunction="count" dataDxfId="150" totalsRowDxfId="149"/>
    <tableColumn id="12" xr3:uid="{00000000-0010-0000-0B00-00000C000000}" name="11" totalsRowFunction="count" dataDxfId="148" totalsRowDxfId="147"/>
    <tableColumn id="13" xr3:uid="{00000000-0010-0000-0B00-00000D000000}" name="12" totalsRowFunction="count" dataDxfId="146" totalsRowDxfId="145"/>
    <tableColumn id="14" xr3:uid="{00000000-0010-0000-0B00-00000E000000}" name="13" totalsRowFunction="count" dataDxfId="144" totalsRowDxfId="143"/>
    <tableColumn id="15" xr3:uid="{00000000-0010-0000-0B00-00000F000000}" name="14" totalsRowFunction="count" dataDxfId="142" totalsRowDxfId="141"/>
    <tableColumn id="16" xr3:uid="{00000000-0010-0000-0B00-000010000000}" name="15" totalsRowFunction="count" dataDxfId="140" totalsRowDxfId="139"/>
    <tableColumn id="17" xr3:uid="{00000000-0010-0000-0B00-000011000000}" name="16" totalsRowFunction="count" dataDxfId="138" totalsRowDxfId="137"/>
    <tableColumn id="18" xr3:uid="{00000000-0010-0000-0B00-000012000000}" name="17" totalsRowFunction="count" dataDxfId="136" totalsRowDxfId="135"/>
    <tableColumn id="19" xr3:uid="{00000000-0010-0000-0B00-000013000000}" name="18" totalsRowFunction="count" dataDxfId="134" totalsRowDxfId="133"/>
    <tableColumn id="20" xr3:uid="{00000000-0010-0000-0B00-000014000000}" name="19" totalsRowFunction="count" dataDxfId="132" totalsRowDxfId="131"/>
    <tableColumn id="21" xr3:uid="{00000000-0010-0000-0B00-000015000000}" name="20" totalsRowFunction="count" dataDxfId="130" totalsRowDxfId="129"/>
    <tableColumn id="22" xr3:uid="{00000000-0010-0000-0B00-000016000000}" name="21" totalsRowFunction="count" dataDxfId="128" totalsRowDxfId="127"/>
    <tableColumn id="23" xr3:uid="{00000000-0010-0000-0B00-000017000000}" name="22" totalsRowFunction="count" dataDxfId="126" totalsRowDxfId="125"/>
    <tableColumn id="24" xr3:uid="{00000000-0010-0000-0B00-000018000000}" name="23" totalsRowFunction="count" dataDxfId="124" totalsRowDxfId="123"/>
    <tableColumn id="25" xr3:uid="{00000000-0010-0000-0B00-000019000000}" name="24" totalsRowFunction="count" dataDxfId="122" totalsRowDxfId="121"/>
    <tableColumn id="26" xr3:uid="{00000000-0010-0000-0B00-00001A000000}" name="25" totalsRowFunction="count" dataDxfId="120" totalsRowDxfId="119"/>
    <tableColumn id="27" xr3:uid="{00000000-0010-0000-0B00-00001B000000}" name="26" totalsRowFunction="count" dataDxfId="118" totalsRowDxfId="117"/>
    <tableColumn id="28" xr3:uid="{00000000-0010-0000-0B00-00001C000000}" name="27" totalsRowFunction="count" dataDxfId="116" totalsRowDxfId="115"/>
    <tableColumn id="29" xr3:uid="{00000000-0010-0000-0B00-00001D000000}" name="28" totalsRowFunction="count" dataDxfId="114" totalsRowDxfId="113"/>
    <tableColumn id="30" xr3:uid="{00000000-0010-0000-0B00-00001E000000}" name="29" totalsRowFunction="count" dataDxfId="112" totalsRowDxfId="111"/>
    <tableColumn id="31" xr3:uid="{00000000-0010-0000-0B00-00001F000000}" name="30" totalsRowFunction="count" dataDxfId="110" totalsRowDxfId="109"/>
    <tableColumn id="32" xr3:uid="{00000000-0010-0000-0B00-000020000000}" name="31" totalsRowFunction="count" dataDxfId="108" totalsRowDxfId="107"/>
    <tableColumn id="33" xr3:uid="{00000000-0010-0000-0B00-000021000000}" name="Datum " totalsRowFunction="sum" dataDxfId="106" totalsRowDxfId="105" dataCellStyle="Celkem">
      <calculatedColumnFormula>COUNTA(Prosinec[[#This Row],[1]:[31]])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Obsahuje seznam jmen a kalendářních dat pro zaznamenání nepřítomnosti zaměstnanců a specifického typu nepřítomnosti, jako je například D=Dovolená, Z=Zdravotní neschopnost, O=Osobní důvody a dva zástupné znaky pro vlastní záznam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Únor" displayName="Únor" ref="B5:AH11" totalsRowCount="1" headerRowDxfId="761" dataDxfId="760" totalsRowDxfId="759">
  <tableColumns count="33">
    <tableColumn id="1" xr3:uid="{00000000-0010-0000-0100-000001000000}" name="Firma" dataDxfId="758" totalsRowDxfId="757" dataCellStyle="Zaměstnanec"/>
    <tableColumn id="2" xr3:uid="{00000000-0010-0000-0100-000002000000}" name="1" totalsRowFunction="count" dataDxfId="756" totalsRowDxfId="755"/>
    <tableColumn id="3" xr3:uid="{00000000-0010-0000-0100-000003000000}" name="2" dataDxfId="754" totalsRowDxfId="753"/>
    <tableColumn id="4" xr3:uid="{00000000-0010-0000-0100-000004000000}" name="3" dataDxfId="752" totalsRowDxfId="751"/>
    <tableColumn id="5" xr3:uid="{00000000-0010-0000-0100-000005000000}" name="4" dataDxfId="750" totalsRowDxfId="749"/>
    <tableColumn id="6" xr3:uid="{00000000-0010-0000-0100-000006000000}" name="5" dataDxfId="748" totalsRowDxfId="747"/>
    <tableColumn id="7" xr3:uid="{00000000-0010-0000-0100-000007000000}" name="6" dataDxfId="746" totalsRowDxfId="745"/>
    <tableColumn id="8" xr3:uid="{00000000-0010-0000-0100-000008000000}" name="7" dataDxfId="744" totalsRowDxfId="743"/>
    <tableColumn id="9" xr3:uid="{00000000-0010-0000-0100-000009000000}" name="8" dataDxfId="742" totalsRowDxfId="741"/>
    <tableColumn id="10" xr3:uid="{00000000-0010-0000-0100-00000A000000}" name="9" dataDxfId="740" totalsRowDxfId="739"/>
    <tableColumn id="11" xr3:uid="{00000000-0010-0000-0100-00000B000000}" name="10" dataDxfId="738" totalsRowDxfId="737"/>
    <tableColumn id="12" xr3:uid="{00000000-0010-0000-0100-00000C000000}" name="11" dataDxfId="736" totalsRowDxfId="735"/>
    <tableColumn id="13" xr3:uid="{00000000-0010-0000-0100-00000D000000}" name="12" dataDxfId="734" totalsRowDxfId="733"/>
    <tableColumn id="14" xr3:uid="{00000000-0010-0000-0100-00000E000000}" name="13" dataDxfId="732" totalsRowDxfId="731"/>
    <tableColumn id="15" xr3:uid="{00000000-0010-0000-0100-00000F000000}" name="14" dataDxfId="730" totalsRowDxfId="729"/>
    <tableColumn id="16" xr3:uid="{00000000-0010-0000-0100-000010000000}" name="15" dataDxfId="728" totalsRowDxfId="727"/>
    <tableColumn id="17" xr3:uid="{00000000-0010-0000-0100-000011000000}" name="16" dataDxfId="726" totalsRowDxfId="725"/>
    <tableColumn id="18" xr3:uid="{00000000-0010-0000-0100-000012000000}" name="17" dataDxfId="724" totalsRowDxfId="723"/>
    <tableColumn id="19" xr3:uid="{00000000-0010-0000-0100-000013000000}" name="18" dataDxfId="722" totalsRowDxfId="721"/>
    <tableColumn id="20" xr3:uid="{00000000-0010-0000-0100-000014000000}" name="19" dataDxfId="720" totalsRowDxfId="719"/>
    <tableColumn id="21" xr3:uid="{00000000-0010-0000-0100-000015000000}" name="20" dataDxfId="718" totalsRowDxfId="717"/>
    <tableColumn id="22" xr3:uid="{00000000-0010-0000-0100-000016000000}" name="21" dataDxfId="716" totalsRowDxfId="715"/>
    <tableColumn id="23" xr3:uid="{00000000-0010-0000-0100-000017000000}" name="22" dataDxfId="714" totalsRowDxfId="713"/>
    <tableColumn id="24" xr3:uid="{00000000-0010-0000-0100-000018000000}" name="23" dataDxfId="712" totalsRowDxfId="711"/>
    <tableColumn id="25" xr3:uid="{00000000-0010-0000-0100-000019000000}" name="24" dataDxfId="710" totalsRowDxfId="709"/>
    <tableColumn id="26" xr3:uid="{00000000-0010-0000-0100-00001A000000}" name="25" dataDxfId="708" totalsRowDxfId="707"/>
    <tableColumn id="27" xr3:uid="{00000000-0010-0000-0100-00001B000000}" name="26" dataDxfId="706" totalsRowDxfId="705"/>
    <tableColumn id="28" xr3:uid="{00000000-0010-0000-0100-00001C000000}" name="27" dataDxfId="704" totalsRowDxfId="703"/>
    <tableColumn id="29" xr3:uid="{00000000-0010-0000-0100-00001D000000}" name="28" dataDxfId="702" totalsRowDxfId="701"/>
    <tableColumn id="30" xr3:uid="{00000000-0010-0000-0100-00001E000000}" name="29" dataDxfId="700" totalsRowDxfId="699"/>
    <tableColumn id="31" xr3:uid="{00000000-0010-0000-0100-00001F000000}" name=" " dataDxfId="698" totalsRowDxfId="697"/>
    <tableColumn id="32" xr3:uid="{00000000-0010-0000-0100-000020000000}" name="  " dataDxfId="696" totalsRowDxfId="695"/>
    <tableColumn id="33" xr3:uid="{00000000-0010-0000-0100-000021000000}" name="Datum " dataDxfId="694" totalsRowDxfId="693" dataCellStyle="Celkem"/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Březen" displayName="Březen" ref="B5:AH12" totalsRowCount="1" headerRowDxfId="692" dataDxfId="691" totalsRowDxfId="690">
  <tableColumns count="33">
    <tableColumn id="1" xr3:uid="{00000000-0010-0000-0200-000001000000}" name="Firma" dataDxfId="689" totalsRowDxfId="688" dataCellStyle="Zaměstnanec"/>
    <tableColumn id="2" xr3:uid="{00000000-0010-0000-0200-000002000000}" name="1" totalsRowFunction="count" dataDxfId="687" totalsRowDxfId="686"/>
    <tableColumn id="3" xr3:uid="{00000000-0010-0000-0200-000003000000}" name="2" totalsRowFunction="count" dataDxfId="685" totalsRowDxfId="684"/>
    <tableColumn id="4" xr3:uid="{00000000-0010-0000-0200-000004000000}" name="3" totalsRowFunction="count" dataDxfId="683" totalsRowDxfId="682"/>
    <tableColumn id="5" xr3:uid="{00000000-0010-0000-0200-000005000000}" name="4" totalsRowFunction="count" dataDxfId="681" totalsRowDxfId="680"/>
    <tableColumn id="6" xr3:uid="{00000000-0010-0000-0200-000006000000}" name="5" totalsRowFunction="count" dataDxfId="679" totalsRowDxfId="678"/>
    <tableColumn id="7" xr3:uid="{00000000-0010-0000-0200-000007000000}" name="6" totalsRowFunction="count" dataDxfId="677" totalsRowDxfId="676"/>
    <tableColumn id="8" xr3:uid="{00000000-0010-0000-0200-000008000000}" name="7" totalsRowFunction="count" dataDxfId="675" totalsRowDxfId="674"/>
    <tableColumn id="9" xr3:uid="{00000000-0010-0000-0200-000009000000}" name="8" totalsRowFunction="count" dataDxfId="673" totalsRowDxfId="672"/>
    <tableColumn id="10" xr3:uid="{00000000-0010-0000-0200-00000A000000}" name="9" totalsRowFunction="count" dataDxfId="671" totalsRowDxfId="670"/>
    <tableColumn id="11" xr3:uid="{00000000-0010-0000-0200-00000B000000}" name="10" totalsRowFunction="count" dataDxfId="669" totalsRowDxfId="668"/>
    <tableColumn id="12" xr3:uid="{00000000-0010-0000-0200-00000C000000}" name="11" totalsRowFunction="count" dataDxfId="667" totalsRowDxfId="666"/>
    <tableColumn id="13" xr3:uid="{00000000-0010-0000-0200-00000D000000}" name="12" totalsRowFunction="count" dataDxfId="665" totalsRowDxfId="664"/>
    <tableColumn id="14" xr3:uid="{00000000-0010-0000-0200-00000E000000}" name="13" totalsRowFunction="count" dataDxfId="663" totalsRowDxfId="662"/>
    <tableColumn id="15" xr3:uid="{00000000-0010-0000-0200-00000F000000}" name="14" totalsRowFunction="count" dataDxfId="661" totalsRowDxfId="660"/>
    <tableColumn id="16" xr3:uid="{00000000-0010-0000-0200-000010000000}" name="15" totalsRowFunction="count" dataDxfId="659" totalsRowDxfId="658"/>
    <tableColumn id="17" xr3:uid="{00000000-0010-0000-0200-000011000000}" name="16" totalsRowFunction="count" dataDxfId="657" totalsRowDxfId="656"/>
    <tableColumn id="18" xr3:uid="{00000000-0010-0000-0200-000012000000}" name="17" totalsRowFunction="count" dataDxfId="655" totalsRowDxfId="654"/>
    <tableColumn id="19" xr3:uid="{00000000-0010-0000-0200-000013000000}" name="18" totalsRowFunction="count" dataDxfId="653" totalsRowDxfId="652"/>
    <tableColumn id="20" xr3:uid="{00000000-0010-0000-0200-000014000000}" name="19" totalsRowFunction="count" dataDxfId="651" totalsRowDxfId="650"/>
    <tableColumn id="21" xr3:uid="{00000000-0010-0000-0200-000015000000}" name="20" totalsRowFunction="count" dataDxfId="649" totalsRowDxfId="648"/>
    <tableColumn id="22" xr3:uid="{00000000-0010-0000-0200-000016000000}" name="21" totalsRowFunction="count" dataDxfId="647" totalsRowDxfId="646"/>
    <tableColumn id="23" xr3:uid="{00000000-0010-0000-0200-000017000000}" name="22" totalsRowFunction="count" dataDxfId="645" totalsRowDxfId="644"/>
    <tableColumn id="24" xr3:uid="{00000000-0010-0000-0200-000018000000}" name="23" totalsRowFunction="count" dataDxfId="643" totalsRowDxfId="642"/>
    <tableColumn id="25" xr3:uid="{00000000-0010-0000-0200-000019000000}" name="24" totalsRowFunction="count" dataDxfId="641" totalsRowDxfId="640"/>
    <tableColumn id="26" xr3:uid="{00000000-0010-0000-0200-00001A000000}" name="25" totalsRowFunction="count" dataDxfId="639" totalsRowDxfId="638"/>
    <tableColumn id="27" xr3:uid="{00000000-0010-0000-0200-00001B000000}" name="26" totalsRowFunction="count" dataDxfId="637" totalsRowDxfId="636"/>
    <tableColumn id="28" xr3:uid="{00000000-0010-0000-0200-00001C000000}" name="27" totalsRowFunction="count" dataDxfId="635" totalsRowDxfId="634"/>
    <tableColumn id="29" xr3:uid="{00000000-0010-0000-0200-00001D000000}" name="28" totalsRowFunction="count" dataDxfId="633" totalsRowDxfId="632"/>
    <tableColumn id="30" xr3:uid="{00000000-0010-0000-0200-00001E000000}" name="29" totalsRowFunction="count" dataDxfId="631" totalsRowDxfId="630"/>
    <tableColumn id="31" xr3:uid="{00000000-0010-0000-0200-00001F000000}" name="30" totalsRowFunction="count" dataDxfId="629" totalsRowDxfId="628"/>
    <tableColumn id="32" xr3:uid="{00000000-0010-0000-0200-000020000000}" name="31" totalsRowFunction="count" dataDxfId="627" totalsRowDxfId="626"/>
    <tableColumn id="33" xr3:uid="{00000000-0010-0000-0200-000021000000}" name="Datum " totalsRowFunction="sum" dataDxfId="625" totalsRowDxfId="624" dataCellStyle="Celkem"/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Duben" displayName="Duben" ref="B5:AH14" totalsRowCount="1" headerRowDxfId="623" dataDxfId="622" totalsRowDxfId="621">
  <tableColumns count="33">
    <tableColumn id="1" xr3:uid="{00000000-0010-0000-0300-000001000000}" name="Firma" dataDxfId="620" totalsRowDxfId="619" dataCellStyle="Zaměstnanec"/>
    <tableColumn id="2" xr3:uid="{00000000-0010-0000-0300-000002000000}" name="1" totalsRowFunction="count" dataDxfId="618" totalsRowDxfId="617"/>
    <tableColumn id="3" xr3:uid="{00000000-0010-0000-0300-000003000000}" name="2" totalsRowFunction="count" dataDxfId="616" totalsRowDxfId="615"/>
    <tableColumn id="4" xr3:uid="{00000000-0010-0000-0300-000004000000}" name="3" totalsRowFunction="count" dataDxfId="614" totalsRowDxfId="613"/>
    <tableColumn id="5" xr3:uid="{00000000-0010-0000-0300-000005000000}" name="4" totalsRowFunction="count" dataDxfId="612" totalsRowDxfId="611"/>
    <tableColumn id="6" xr3:uid="{00000000-0010-0000-0300-000006000000}" name="5" totalsRowFunction="count" dataDxfId="610" totalsRowDxfId="609"/>
    <tableColumn id="7" xr3:uid="{00000000-0010-0000-0300-000007000000}" name="6" totalsRowFunction="count" dataDxfId="608" totalsRowDxfId="607"/>
    <tableColumn id="8" xr3:uid="{00000000-0010-0000-0300-000008000000}" name="7" totalsRowFunction="count" dataDxfId="606" totalsRowDxfId="605"/>
    <tableColumn id="9" xr3:uid="{00000000-0010-0000-0300-000009000000}" name="8" totalsRowFunction="count" dataDxfId="604" totalsRowDxfId="603"/>
    <tableColumn id="10" xr3:uid="{00000000-0010-0000-0300-00000A000000}" name="9" totalsRowFunction="count" dataDxfId="602" totalsRowDxfId="601"/>
    <tableColumn id="11" xr3:uid="{00000000-0010-0000-0300-00000B000000}" name="10" totalsRowFunction="count" dataDxfId="600" totalsRowDxfId="599"/>
    <tableColumn id="12" xr3:uid="{00000000-0010-0000-0300-00000C000000}" name="11" totalsRowFunction="count" dataDxfId="598" totalsRowDxfId="597"/>
    <tableColumn id="13" xr3:uid="{00000000-0010-0000-0300-00000D000000}" name="12" totalsRowFunction="count" dataDxfId="596" totalsRowDxfId="595"/>
    <tableColumn id="14" xr3:uid="{00000000-0010-0000-0300-00000E000000}" name="13" totalsRowFunction="count" dataDxfId="594" totalsRowDxfId="593"/>
    <tableColumn id="15" xr3:uid="{00000000-0010-0000-0300-00000F000000}" name="14" totalsRowFunction="count" dataDxfId="592" totalsRowDxfId="591"/>
    <tableColumn id="16" xr3:uid="{00000000-0010-0000-0300-000010000000}" name="15" totalsRowFunction="count" dataDxfId="590" totalsRowDxfId="589"/>
    <tableColumn id="17" xr3:uid="{00000000-0010-0000-0300-000011000000}" name="16" totalsRowFunction="count" dataDxfId="588" totalsRowDxfId="587"/>
    <tableColumn id="18" xr3:uid="{00000000-0010-0000-0300-000012000000}" name="17" totalsRowFunction="count" dataDxfId="586" totalsRowDxfId="585"/>
    <tableColumn id="19" xr3:uid="{00000000-0010-0000-0300-000013000000}" name="18" totalsRowFunction="count" dataDxfId="584" totalsRowDxfId="583"/>
    <tableColumn id="20" xr3:uid="{00000000-0010-0000-0300-000014000000}" name="19" totalsRowFunction="count" dataDxfId="582" totalsRowDxfId="581"/>
    <tableColumn id="21" xr3:uid="{00000000-0010-0000-0300-000015000000}" name="20" totalsRowFunction="count" dataDxfId="580" totalsRowDxfId="579"/>
    <tableColumn id="22" xr3:uid="{00000000-0010-0000-0300-000016000000}" name="21" totalsRowFunction="count" dataDxfId="578" totalsRowDxfId="577"/>
    <tableColumn id="23" xr3:uid="{00000000-0010-0000-0300-000017000000}" name="22" totalsRowFunction="count" dataDxfId="576" totalsRowDxfId="575"/>
    <tableColumn id="24" xr3:uid="{00000000-0010-0000-0300-000018000000}" name="23" totalsRowFunction="count" dataDxfId="574" totalsRowDxfId="573"/>
    <tableColumn id="25" xr3:uid="{00000000-0010-0000-0300-000019000000}" name="24" totalsRowFunction="count" dataDxfId="572" totalsRowDxfId="571"/>
    <tableColumn id="26" xr3:uid="{00000000-0010-0000-0300-00001A000000}" name="25" totalsRowFunction="count" dataDxfId="570" totalsRowDxfId="569"/>
    <tableColumn id="27" xr3:uid="{00000000-0010-0000-0300-00001B000000}" name="26" totalsRowFunction="count" dataDxfId="568" totalsRowDxfId="567"/>
    <tableColumn id="28" xr3:uid="{00000000-0010-0000-0300-00001C000000}" name="27" totalsRowFunction="count" dataDxfId="566" totalsRowDxfId="565"/>
    <tableColumn id="29" xr3:uid="{00000000-0010-0000-0300-00001D000000}" name="28" totalsRowFunction="count" dataDxfId="564" totalsRowDxfId="563"/>
    <tableColumn id="30" xr3:uid="{00000000-0010-0000-0300-00001E000000}" name="29" totalsRowFunction="count" dataDxfId="562" totalsRowDxfId="561"/>
    <tableColumn id="31" xr3:uid="{00000000-0010-0000-0300-00001F000000}" name="30" totalsRowFunction="count" dataDxfId="560" totalsRowDxfId="559"/>
    <tableColumn id="32" xr3:uid="{00000000-0010-0000-0300-000020000000}" name=" " totalsRowFunction="custom" dataDxfId="558" totalsRowDxfId="557">
      <totalsRowFormula>SUBTOTAL(103,Duben[30])</totalsRowFormula>
    </tableColumn>
    <tableColumn id="33" xr3:uid="{00000000-0010-0000-0300-000021000000}" name="Datum " totalsRowFunction="sum" dataDxfId="556" totalsRowDxfId="555" dataCellStyle="Celkem">
      <calculatedColumnFormula>COUNTA(Duben[[#This Row],[1]:[30]])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Květen" displayName="Květen" ref="B5:AH12" totalsRowCount="1" headerRowDxfId="554" dataDxfId="553" totalsRowDxfId="552">
  <tableColumns count="33">
    <tableColumn id="1" xr3:uid="{00000000-0010-0000-0400-000001000000}" name="Firma" dataDxfId="551" totalsRowDxfId="550" dataCellStyle="Zaměstnanec"/>
    <tableColumn id="2" xr3:uid="{00000000-0010-0000-0400-000002000000}" name="1" totalsRowFunction="count" dataDxfId="549" totalsRowDxfId="548"/>
    <tableColumn id="3" xr3:uid="{00000000-0010-0000-0400-000003000000}" name="2" totalsRowFunction="count" dataDxfId="547" totalsRowDxfId="546"/>
    <tableColumn id="4" xr3:uid="{00000000-0010-0000-0400-000004000000}" name="3" totalsRowFunction="count" dataDxfId="545" totalsRowDxfId="544"/>
    <tableColumn id="5" xr3:uid="{00000000-0010-0000-0400-000005000000}" name="4" totalsRowFunction="count" dataDxfId="543" totalsRowDxfId="542"/>
    <tableColumn id="6" xr3:uid="{00000000-0010-0000-0400-000006000000}" name="5" totalsRowFunction="count" dataDxfId="541" totalsRowDxfId="540"/>
    <tableColumn id="7" xr3:uid="{00000000-0010-0000-0400-000007000000}" name="6" totalsRowFunction="count" dataDxfId="539" totalsRowDxfId="538"/>
    <tableColumn id="8" xr3:uid="{00000000-0010-0000-0400-000008000000}" name="7" totalsRowFunction="count" dataDxfId="537" totalsRowDxfId="536"/>
    <tableColumn id="9" xr3:uid="{00000000-0010-0000-0400-000009000000}" name="8" totalsRowFunction="count" dataDxfId="535" totalsRowDxfId="534"/>
    <tableColumn id="10" xr3:uid="{00000000-0010-0000-0400-00000A000000}" name="9" totalsRowFunction="count" dataDxfId="533" totalsRowDxfId="532"/>
    <tableColumn id="11" xr3:uid="{00000000-0010-0000-0400-00000B000000}" name="10" totalsRowFunction="count" dataDxfId="531" totalsRowDxfId="530"/>
    <tableColumn id="12" xr3:uid="{00000000-0010-0000-0400-00000C000000}" name="11" totalsRowFunction="count" dataDxfId="529" totalsRowDxfId="528"/>
    <tableColumn id="13" xr3:uid="{00000000-0010-0000-0400-00000D000000}" name="12" totalsRowFunction="count" dataDxfId="527" totalsRowDxfId="526"/>
    <tableColumn id="14" xr3:uid="{00000000-0010-0000-0400-00000E000000}" name="13" totalsRowFunction="count" dataDxfId="525" totalsRowDxfId="524"/>
    <tableColumn id="15" xr3:uid="{00000000-0010-0000-0400-00000F000000}" name="14" totalsRowFunction="count" dataDxfId="523" totalsRowDxfId="522"/>
    <tableColumn id="16" xr3:uid="{00000000-0010-0000-0400-000010000000}" name="15" totalsRowFunction="count" dataDxfId="521" totalsRowDxfId="520"/>
    <tableColumn id="17" xr3:uid="{00000000-0010-0000-0400-000011000000}" name="16" totalsRowFunction="count" dataDxfId="519" totalsRowDxfId="518"/>
    <tableColumn id="18" xr3:uid="{00000000-0010-0000-0400-000012000000}" name="17" totalsRowFunction="count" dataDxfId="517" totalsRowDxfId="516"/>
    <tableColumn id="19" xr3:uid="{00000000-0010-0000-0400-000013000000}" name="18" totalsRowFunction="count" dataDxfId="515" totalsRowDxfId="514"/>
    <tableColumn id="20" xr3:uid="{00000000-0010-0000-0400-000014000000}" name="19" totalsRowFunction="count" dataDxfId="513" totalsRowDxfId="512"/>
    <tableColumn id="21" xr3:uid="{00000000-0010-0000-0400-000015000000}" name="20" totalsRowFunction="count" dataDxfId="511" totalsRowDxfId="510"/>
    <tableColumn id="22" xr3:uid="{00000000-0010-0000-0400-000016000000}" name="21" totalsRowFunction="count" dataDxfId="509" totalsRowDxfId="508"/>
    <tableColumn id="23" xr3:uid="{00000000-0010-0000-0400-000017000000}" name="22" totalsRowFunction="count" dataDxfId="507" totalsRowDxfId="506"/>
    <tableColumn id="24" xr3:uid="{00000000-0010-0000-0400-000018000000}" name="23" totalsRowFunction="count" dataDxfId="505" totalsRowDxfId="504"/>
    <tableColumn id="25" xr3:uid="{00000000-0010-0000-0400-000019000000}" name="24" totalsRowFunction="count" dataDxfId="503" totalsRowDxfId="502"/>
    <tableColumn id="26" xr3:uid="{00000000-0010-0000-0400-00001A000000}" name="25" totalsRowFunction="count" dataDxfId="501" totalsRowDxfId="500"/>
    <tableColumn id="27" xr3:uid="{00000000-0010-0000-0400-00001B000000}" name="26" totalsRowFunction="count" dataDxfId="499" totalsRowDxfId="498"/>
    <tableColumn id="28" xr3:uid="{00000000-0010-0000-0400-00001C000000}" name="27" totalsRowFunction="count" dataDxfId="497" totalsRowDxfId="496"/>
    <tableColumn id="29" xr3:uid="{00000000-0010-0000-0400-00001D000000}" name="28" totalsRowFunction="count" dataDxfId="495" totalsRowDxfId="494"/>
    <tableColumn id="30" xr3:uid="{00000000-0010-0000-0400-00001E000000}" name="29" totalsRowFunction="count" dataDxfId="493" totalsRowDxfId="492"/>
    <tableColumn id="31" xr3:uid="{00000000-0010-0000-0400-00001F000000}" name="30" totalsRowFunction="count" dataDxfId="491" totalsRowDxfId="490"/>
    <tableColumn id="32" xr3:uid="{00000000-0010-0000-0400-000020000000}" name="31" totalsRowFunction="count" dataDxfId="489" totalsRowDxfId="488"/>
    <tableColumn id="33" xr3:uid="{00000000-0010-0000-0400-000021000000}" name="Datum " totalsRowFunction="sum" dataDxfId="487" totalsRowDxfId="486" dataCellStyle="Celkem">
      <calculatedColumnFormula>COUNTA(Květen[[#This Row],[1]:[31]])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Červen" displayName="Červen" ref="B5:AH17" totalsRowCount="1" headerRowDxfId="485" dataDxfId="484" totalsRowDxfId="483">
  <tableColumns count="33">
    <tableColumn id="1" xr3:uid="{00000000-0010-0000-0500-000001000000}" name="Firma" dataDxfId="482" totalsRowDxfId="481" dataCellStyle="Zaměstnanec"/>
    <tableColumn id="2" xr3:uid="{00000000-0010-0000-0500-000002000000}" name="1" totalsRowFunction="count" dataDxfId="480" totalsRowDxfId="479"/>
    <tableColumn id="3" xr3:uid="{00000000-0010-0000-0500-000003000000}" name="2" totalsRowFunction="count" dataDxfId="478" totalsRowDxfId="477"/>
    <tableColumn id="4" xr3:uid="{00000000-0010-0000-0500-000004000000}" name="3" totalsRowFunction="count" dataDxfId="476" totalsRowDxfId="475"/>
    <tableColumn id="5" xr3:uid="{00000000-0010-0000-0500-000005000000}" name="4" totalsRowFunction="count" dataDxfId="474" totalsRowDxfId="473"/>
    <tableColumn id="6" xr3:uid="{00000000-0010-0000-0500-000006000000}" name="5" totalsRowFunction="count" dataDxfId="472" totalsRowDxfId="471"/>
    <tableColumn id="7" xr3:uid="{00000000-0010-0000-0500-000007000000}" name="6" totalsRowFunction="count" dataDxfId="470" totalsRowDxfId="469"/>
    <tableColumn id="8" xr3:uid="{00000000-0010-0000-0500-000008000000}" name="7" totalsRowFunction="count" dataDxfId="468" totalsRowDxfId="467"/>
    <tableColumn id="9" xr3:uid="{00000000-0010-0000-0500-000009000000}" name="8" totalsRowFunction="count" dataDxfId="466" totalsRowDxfId="465"/>
    <tableColumn id="10" xr3:uid="{00000000-0010-0000-0500-00000A000000}" name="9" totalsRowFunction="count" dataDxfId="464" totalsRowDxfId="463"/>
    <tableColumn id="11" xr3:uid="{00000000-0010-0000-0500-00000B000000}" name="10" totalsRowFunction="count" dataDxfId="462" totalsRowDxfId="461"/>
    <tableColumn id="12" xr3:uid="{00000000-0010-0000-0500-00000C000000}" name="11" totalsRowFunction="count" dataDxfId="460" totalsRowDxfId="459"/>
    <tableColumn id="13" xr3:uid="{00000000-0010-0000-0500-00000D000000}" name="12" totalsRowFunction="count" dataDxfId="458" totalsRowDxfId="457"/>
    <tableColumn id="14" xr3:uid="{00000000-0010-0000-0500-00000E000000}" name="13" totalsRowFunction="count" dataDxfId="456" totalsRowDxfId="455"/>
    <tableColumn id="15" xr3:uid="{00000000-0010-0000-0500-00000F000000}" name="14" totalsRowFunction="count" dataDxfId="454" totalsRowDxfId="453"/>
    <tableColumn id="16" xr3:uid="{00000000-0010-0000-0500-000010000000}" name="15" totalsRowFunction="count" dataDxfId="452" totalsRowDxfId="451"/>
    <tableColumn id="17" xr3:uid="{00000000-0010-0000-0500-000011000000}" name="16" totalsRowFunction="count" dataDxfId="450" totalsRowDxfId="449"/>
    <tableColumn id="18" xr3:uid="{00000000-0010-0000-0500-000012000000}" name="17" totalsRowFunction="count" dataDxfId="448" totalsRowDxfId="447"/>
    <tableColumn id="19" xr3:uid="{00000000-0010-0000-0500-000013000000}" name="18" totalsRowFunction="count" dataDxfId="446" totalsRowDxfId="445"/>
    <tableColumn id="20" xr3:uid="{00000000-0010-0000-0500-000014000000}" name="19" totalsRowFunction="count" dataDxfId="444" totalsRowDxfId="443"/>
    <tableColumn id="21" xr3:uid="{00000000-0010-0000-0500-000015000000}" name="20" totalsRowFunction="count" dataDxfId="442" totalsRowDxfId="441"/>
    <tableColumn id="22" xr3:uid="{00000000-0010-0000-0500-000016000000}" name="21" totalsRowFunction="count" dataDxfId="440" totalsRowDxfId="439"/>
    <tableColumn id="23" xr3:uid="{00000000-0010-0000-0500-000017000000}" name="22" totalsRowFunction="count" dataDxfId="438" totalsRowDxfId="437"/>
    <tableColumn id="24" xr3:uid="{00000000-0010-0000-0500-000018000000}" name="23" totalsRowFunction="count" dataDxfId="436" totalsRowDxfId="435"/>
    <tableColumn id="25" xr3:uid="{00000000-0010-0000-0500-000019000000}" name="24" totalsRowFunction="count" dataDxfId="434" totalsRowDxfId="433"/>
    <tableColumn id="26" xr3:uid="{00000000-0010-0000-0500-00001A000000}" name="25" totalsRowFunction="count" dataDxfId="432" totalsRowDxfId="431"/>
    <tableColumn id="27" xr3:uid="{00000000-0010-0000-0500-00001B000000}" name="26" totalsRowFunction="count" dataDxfId="430" totalsRowDxfId="429"/>
    <tableColumn id="28" xr3:uid="{00000000-0010-0000-0500-00001C000000}" name="27" totalsRowFunction="count" dataDxfId="428" totalsRowDxfId="427"/>
    <tableColumn id="29" xr3:uid="{00000000-0010-0000-0500-00001D000000}" name="28" totalsRowFunction="count" dataDxfId="426" totalsRowDxfId="425"/>
    <tableColumn id="30" xr3:uid="{00000000-0010-0000-0500-00001E000000}" name="29" totalsRowFunction="count" dataDxfId="424" totalsRowDxfId="423"/>
    <tableColumn id="31" xr3:uid="{00000000-0010-0000-0500-00001F000000}" name="30" totalsRowFunction="count" dataDxfId="422" totalsRowDxfId="421"/>
    <tableColumn id="32" xr3:uid="{00000000-0010-0000-0500-000020000000}" name=" " totalsRowFunction="count" dataDxfId="420" totalsRowDxfId="419"/>
    <tableColumn id="33" xr3:uid="{00000000-0010-0000-0500-000021000000}" name="Datum " totalsRowFunction="sum" dataDxfId="418" totalsRowDxfId="417" dataCellStyle="Celkem">
      <calculatedColumnFormula>COUNTA(Červen[[#This Row],[1]:[30]])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Červenec" displayName="Červenec" ref="B5:AH11" totalsRowCount="1" headerRowDxfId="898" dataDxfId="897" totalsRowDxfId="896">
  <tableColumns count="33">
    <tableColumn id="1" xr3:uid="{00000000-0010-0000-0600-000001000000}" name="Firma" dataDxfId="895" totalsRowDxfId="894" dataCellStyle="Zaměstnanec"/>
    <tableColumn id="2" xr3:uid="{00000000-0010-0000-0600-000002000000}" name="1" totalsRowFunction="count" dataDxfId="893" totalsRowDxfId="892"/>
    <tableColumn id="3" xr3:uid="{00000000-0010-0000-0600-000003000000}" name="2" totalsRowFunction="count" dataDxfId="891" totalsRowDxfId="890"/>
    <tableColumn id="4" xr3:uid="{00000000-0010-0000-0600-000004000000}" name="3" totalsRowFunction="count" dataDxfId="889" totalsRowDxfId="888"/>
    <tableColumn id="5" xr3:uid="{00000000-0010-0000-0600-000005000000}" name="4" totalsRowFunction="count" dataDxfId="887" totalsRowDxfId="886"/>
    <tableColumn id="6" xr3:uid="{00000000-0010-0000-0600-000006000000}" name="5" totalsRowFunction="count" dataDxfId="885" totalsRowDxfId="884"/>
    <tableColumn id="7" xr3:uid="{00000000-0010-0000-0600-000007000000}" name="6" totalsRowFunction="count" dataDxfId="883" totalsRowDxfId="882"/>
    <tableColumn id="8" xr3:uid="{00000000-0010-0000-0600-000008000000}" name="7" totalsRowFunction="count" dataDxfId="881" totalsRowDxfId="880"/>
    <tableColumn id="9" xr3:uid="{00000000-0010-0000-0600-000009000000}" name="8" totalsRowFunction="count" dataDxfId="879" totalsRowDxfId="878"/>
    <tableColumn id="10" xr3:uid="{00000000-0010-0000-0600-00000A000000}" name="9" totalsRowFunction="count" dataDxfId="877" totalsRowDxfId="876"/>
    <tableColumn id="11" xr3:uid="{00000000-0010-0000-0600-00000B000000}" name="10" totalsRowFunction="count" dataDxfId="875" totalsRowDxfId="874"/>
    <tableColumn id="12" xr3:uid="{00000000-0010-0000-0600-00000C000000}" name="11" totalsRowFunction="count" dataDxfId="873" totalsRowDxfId="872"/>
    <tableColumn id="13" xr3:uid="{00000000-0010-0000-0600-00000D000000}" name="12" totalsRowFunction="count" dataDxfId="871" totalsRowDxfId="870"/>
    <tableColumn id="14" xr3:uid="{00000000-0010-0000-0600-00000E000000}" name="13" totalsRowFunction="count" dataDxfId="869" totalsRowDxfId="868"/>
    <tableColumn id="15" xr3:uid="{00000000-0010-0000-0600-00000F000000}" name="14" totalsRowFunction="count" dataDxfId="867" totalsRowDxfId="866"/>
    <tableColumn id="16" xr3:uid="{00000000-0010-0000-0600-000010000000}" name="15" totalsRowFunction="count" dataDxfId="865" totalsRowDxfId="864"/>
    <tableColumn id="17" xr3:uid="{00000000-0010-0000-0600-000011000000}" name="16" totalsRowFunction="count" dataDxfId="863" totalsRowDxfId="862"/>
    <tableColumn id="18" xr3:uid="{00000000-0010-0000-0600-000012000000}" name="17" totalsRowFunction="count" dataDxfId="861" totalsRowDxfId="860"/>
    <tableColumn id="19" xr3:uid="{00000000-0010-0000-0600-000013000000}" name="18" totalsRowFunction="count" dataDxfId="859" totalsRowDxfId="858"/>
    <tableColumn id="20" xr3:uid="{00000000-0010-0000-0600-000014000000}" name="19" totalsRowFunction="count" dataDxfId="857" totalsRowDxfId="856"/>
    <tableColumn id="21" xr3:uid="{00000000-0010-0000-0600-000015000000}" name="20" totalsRowFunction="count" dataDxfId="855" totalsRowDxfId="854"/>
    <tableColumn id="22" xr3:uid="{00000000-0010-0000-0600-000016000000}" name="21" totalsRowFunction="count" dataDxfId="853" totalsRowDxfId="852"/>
    <tableColumn id="23" xr3:uid="{00000000-0010-0000-0600-000017000000}" name="22" totalsRowFunction="count" dataDxfId="851" totalsRowDxfId="850"/>
    <tableColumn id="24" xr3:uid="{00000000-0010-0000-0600-000018000000}" name="23" totalsRowFunction="count" dataDxfId="849" totalsRowDxfId="848"/>
    <tableColumn id="25" xr3:uid="{00000000-0010-0000-0600-000019000000}" name="24" totalsRowFunction="count" dataDxfId="847" totalsRowDxfId="846"/>
    <tableColumn id="26" xr3:uid="{00000000-0010-0000-0600-00001A000000}" name="25" totalsRowFunction="count" dataDxfId="845" totalsRowDxfId="844"/>
    <tableColumn id="27" xr3:uid="{00000000-0010-0000-0600-00001B000000}" name="26" totalsRowFunction="count" dataDxfId="843" totalsRowDxfId="842"/>
    <tableColumn id="28" xr3:uid="{00000000-0010-0000-0600-00001C000000}" name="27" totalsRowFunction="count" dataDxfId="841" totalsRowDxfId="840"/>
    <tableColumn id="29" xr3:uid="{00000000-0010-0000-0600-00001D000000}" name="28" totalsRowFunction="count" dataDxfId="839" totalsRowDxfId="838"/>
    <tableColumn id="30" xr3:uid="{00000000-0010-0000-0600-00001E000000}" name="29" totalsRowFunction="count" dataDxfId="837" totalsRowDxfId="836"/>
    <tableColumn id="31" xr3:uid="{00000000-0010-0000-0600-00001F000000}" name="30" totalsRowFunction="count" dataDxfId="835" totalsRowDxfId="834"/>
    <tableColumn id="32" xr3:uid="{00000000-0010-0000-0600-000020000000}" name="31" totalsRowFunction="count" dataDxfId="833" totalsRowDxfId="832"/>
    <tableColumn id="33" xr3:uid="{00000000-0010-0000-0600-000021000000}" name="Datum " totalsRowFunction="sum" dataDxfId="831" totalsRowDxfId="830" dataCellStyle="Celkem">
      <calculatedColumnFormula>COUNTA(Červenec[[#This Row],[1]:[31]])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Srpen" displayName="Srpen" ref="B5:AH11" totalsRowCount="1" headerRowDxfId="416" dataDxfId="415" totalsRowDxfId="414">
  <tableColumns count="33">
    <tableColumn id="1" xr3:uid="{00000000-0010-0000-0700-000001000000}" name="Firma" dataDxfId="413" totalsRowDxfId="32" dataCellStyle="Zaměstnanec"/>
    <tableColumn id="2" xr3:uid="{00000000-0010-0000-0700-000002000000}" name="1" totalsRowFunction="count" dataDxfId="412" totalsRowDxfId="31"/>
    <tableColumn id="3" xr3:uid="{00000000-0010-0000-0700-000003000000}" name="2" totalsRowFunction="count" dataDxfId="411" totalsRowDxfId="30"/>
    <tableColumn id="4" xr3:uid="{00000000-0010-0000-0700-000004000000}" name="3" totalsRowFunction="count" dataDxfId="410" totalsRowDxfId="29"/>
    <tableColumn id="5" xr3:uid="{00000000-0010-0000-0700-000005000000}" name="4" totalsRowFunction="count" dataDxfId="409" totalsRowDxfId="28"/>
    <tableColumn id="6" xr3:uid="{00000000-0010-0000-0700-000006000000}" name="5" totalsRowFunction="count" dataDxfId="408" totalsRowDxfId="27"/>
    <tableColumn id="7" xr3:uid="{00000000-0010-0000-0700-000007000000}" name="6" totalsRowFunction="count" dataDxfId="407" totalsRowDxfId="26"/>
    <tableColumn id="8" xr3:uid="{00000000-0010-0000-0700-000008000000}" name="7" totalsRowFunction="count" dataDxfId="406" totalsRowDxfId="25"/>
    <tableColumn id="9" xr3:uid="{00000000-0010-0000-0700-000009000000}" name="8" totalsRowFunction="count" dataDxfId="405" totalsRowDxfId="24"/>
    <tableColumn id="10" xr3:uid="{00000000-0010-0000-0700-00000A000000}" name="9" totalsRowFunction="count" dataDxfId="404" totalsRowDxfId="23"/>
    <tableColumn id="11" xr3:uid="{00000000-0010-0000-0700-00000B000000}" name="10" totalsRowFunction="count" dataDxfId="403" totalsRowDxfId="22"/>
    <tableColumn id="12" xr3:uid="{00000000-0010-0000-0700-00000C000000}" name="11" totalsRowFunction="count" dataDxfId="402" totalsRowDxfId="21"/>
    <tableColumn id="13" xr3:uid="{00000000-0010-0000-0700-00000D000000}" name="12" totalsRowFunction="count" dataDxfId="401" totalsRowDxfId="20"/>
    <tableColumn id="14" xr3:uid="{00000000-0010-0000-0700-00000E000000}" name="13" totalsRowFunction="count" dataDxfId="400" totalsRowDxfId="19"/>
    <tableColumn id="15" xr3:uid="{00000000-0010-0000-0700-00000F000000}" name="14" totalsRowFunction="count" dataDxfId="399" totalsRowDxfId="18"/>
    <tableColumn id="16" xr3:uid="{00000000-0010-0000-0700-000010000000}" name="15" totalsRowFunction="count" dataDxfId="398" totalsRowDxfId="17"/>
    <tableColumn id="17" xr3:uid="{00000000-0010-0000-0700-000011000000}" name="16" totalsRowFunction="count" dataDxfId="397" totalsRowDxfId="16"/>
    <tableColumn id="18" xr3:uid="{00000000-0010-0000-0700-000012000000}" name="17" totalsRowFunction="count" dataDxfId="396" totalsRowDxfId="15"/>
    <tableColumn id="19" xr3:uid="{00000000-0010-0000-0700-000013000000}" name="18" totalsRowFunction="count" dataDxfId="395" totalsRowDxfId="14"/>
    <tableColumn id="20" xr3:uid="{00000000-0010-0000-0700-000014000000}" name="19" totalsRowFunction="count" dataDxfId="394" totalsRowDxfId="13"/>
    <tableColumn id="21" xr3:uid="{00000000-0010-0000-0700-000015000000}" name="20" totalsRowFunction="count" dataDxfId="393" totalsRowDxfId="12"/>
    <tableColumn id="22" xr3:uid="{00000000-0010-0000-0700-000016000000}" name="21" totalsRowFunction="count" dataDxfId="392" totalsRowDxfId="11"/>
    <tableColumn id="23" xr3:uid="{00000000-0010-0000-0700-000017000000}" name="22" totalsRowFunction="count" dataDxfId="391" totalsRowDxfId="10"/>
    <tableColumn id="24" xr3:uid="{00000000-0010-0000-0700-000018000000}" name="23" totalsRowFunction="count" dataDxfId="390" totalsRowDxfId="9"/>
    <tableColumn id="25" xr3:uid="{00000000-0010-0000-0700-000019000000}" name="24" totalsRowFunction="count" dataDxfId="389" totalsRowDxfId="8"/>
    <tableColumn id="26" xr3:uid="{00000000-0010-0000-0700-00001A000000}" name="25" totalsRowFunction="count" dataDxfId="388" totalsRowDxfId="7"/>
    <tableColumn id="27" xr3:uid="{00000000-0010-0000-0700-00001B000000}" name="26" totalsRowFunction="count" dataDxfId="387" totalsRowDxfId="6"/>
    <tableColumn id="28" xr3:uid="{00000000-0010-0000-0700-00001C000000}" name="27" totalsRowFunction="count" dataDxfId="386" totalsRowDxfId="5"/>
    <tableColumn id="29" xr3:uid="{00000000-0010-0000-0700-00001D000000}" name="28" totalsRowFunction="count" dataDxfId="385" totalsRowDxfId="4"/>
    <tableColumn id="30" xr3:uid="{00000000-0010-0000-0700-00001E000000}" name="29" totalsRowFunction="count" dataDxfId="384" totalsRowDxfId="3"/>
    <tableColumn id="31" xr3:uid="{00000000-0010-0000-0700-00001F000000}" name="30" totalsRowFunction="count" dataDxfId="383" totalsRowDxfId="2"/>
    <tableColumn id="32" xr3:uid="{00000000-0010-0000-0700-000020000000}" name="31" totalsRowFunction="count" dataDxfId="382" totalsRowDxfId="1"/>
    <tableColumn id="33" xr3:uid="{00000000-0010-0000-0700-000021000000}" name="Datum " totalsRowFunction="sum" dataDxfId="381" totalsRowDxfId="0" dataCellStyle="Celkem">
      <calculatedColumnFormula>COUNTA(Srpen[[#This Row],[1]:[31]])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Září" displayName="Září" ref="B5:AH11" totalsRowCount="1" headerRowDxfId="380" dataDxfId="379" totalsRowDxfId="378">
  <tableColumns count="33">
    <tableColumn id="1" xr3:uid="{00000000-0010-0000-0800-000001000000}" name="Firma" dataDxfId="377" totalsRowDxfId="376" dataCellStyle="Zaměstnanec"/>
    <tableColumn id="2" xr3:uid="{00000000-0010-0000-0800-000002000000}" name="1" totalsRowFunction="count" dataDxfId="375" totalsRowDxfId="374"/>
    <tableColumn id="3" xr3:uid="{00000000-0010-0000-0800-000003000000}" name="2" totalsRowFunction="count" dataDxfId="373" totalsRowDxfId="372"/>
    <tableColumn id="4" xr3:uid="{00000000-0010-0000-0800-000004000000}" name="3" totalsRowFunction="count" dataDxfId="371" totalsRowDxfId="370"/>
    <tableColumn id="5" xr3:uid="{00000000-0010-0000-0800-000005000000}" name="4" totalsRowFunction="count" dataDxfId="369" totalsRowDxfId="368"/>
    <tableColumn id="6" xr3:uid="{00000000-0010-0000-0800-000006000000}" name="5" totalsRowFunction="count" dataDxfId="367" totalsRowDxfId="366"/>
    <tableColumn id="7" xr3:uid="{00000000-0010-0000-0800-000007000000}" name="6" totalsRowFunction="count" dataDxfId="365" totalsRowDxfId="364"/>
    <tableColumn id="8" xr3:uid="{00000000-0010-0000-0800-000008000000}" name="7" totalsRowFunction="count" dataDxfId="363" totalsRowDxfId="362"/>
    <tableColumn id="9" xr3:uid="{00000000-0010-0000-0800-000009000000}" name="8" totalsRowFunction="count" dataDxfId="361" totalsRowDxfId="360"/>
    <tableColumn id="10" xr3:uid="{00000000-0010-0000-0800-00000A000000}" name="9" totalsRowFunction="count" dataDxfId="359" totalsRowDxfId="358"/>
    <tableColumn id="11" xr3:uid="{00000000-0010-0000-0800-00000B000000}" name="10" totalsRowFunction="count" dataDxfId="357" totalsRowDxfId="356"/>
    <tableColumn id="12" xr3:uid="{00000000-0010-0000-0800-00000C000000}" name="11" totalsRowFunction="count" dataDxfId="355" totalsRowDxfId="354"/>
    <tableColumn id="13" xr3:uid="{00000000-0010-0000-0800-00000D000000}" name="12" totalsRowFunction="count" dataDxfId="353" totalsRowDxfId="352"/>
    <tableColumn id="14" xr3:uid="{00000000-0010-0000-0800-00000E000000}" name="13" totalsRowFunction="count" dataDxfId="351" totalsRowDxfId="350"/>
    <tableColumn id="15" xr3:uid="{00000000-0010-0000-0800-00000F000000}" name="14" totalsRowFunction="count" dataDxfId="349" totalsRowDxfId="348"/>
    <tableColumn id="16" xr3:uid="{00000000-0010-0000-0800-000010000000}" name="15" totalsRowFunction="count" dataDxfId="347" totalsRowDxfId="346"/>
    <tableColumn id="17" xr3:uid="{00000000-0010-0000-0800-000011000000}" name="16" totalsRowFunction="count" dataDxfId="345" totalsRowDxfId="344"/>
    <tableColumn id="18" xr3:uid="{00000000-0010-0000-0800-000012000000}" name="17" totalsRowFunction="count" dataDxfId="343" totalsRowDxfId="342"/>
    <tableColumn id="19" xr3:uid="{00000000-0010-0000-0800-000013000000}" name="18" totalsRowFunction="count" dataDxfId="341" totalsRowDxfId="340"/>
    <tableColumn id="20" xr3:uid="{00000000-0010-0000-0800-000014000000}" name="19" totalsRowFunction="count" dataDxfId="339" totalsRowDxfId="338"/>
    <tableColumn id="21" xr3:uid="{00000000-0010-0000-0800-000015000000}" name="20" totalsRowFunction="count" dataDxfId="337" totalsRowDxfId="336"/>
    <tableColumn id="22" xr3:uid="{00000000-0010-0000-0800-000016000000}" name="21" totalsRowFunction="count" dataDxfId="335" totalsRowDxfId="334"/>
    <tableColumn id="23" xr3:uid="{00000000-0010-0000-0800-000017000000}" name="22" totalsRowFunction="count" dataDxfId="333" totalsRowDxfId="332"/>
    <tableColumn id="24" xr3:uid="{00000000-0010-0000-0800-000018000000}" name="23" totalsRowFunction="count" dataDxfId="331" totalsRowDxfId="330"/>
    <tableColumn id="25" xr3:uid="{00000000-0010-0000-0800-000019000000}" name="24" totalsRowFunction="count" dataDxfId="329" totalsRowDxfId="328"/>
    <tableColumn id="26" xr3:uid="{00000000-0010-0000-0800-00001A000000}" name="25" totalsRowFunction="count" dataDxfId="327" totalsRowDxfId="326"/>
    <tableColumn id="27" xr3:uid="{00000000-0010-0000-0800-00001B000000}" name="26" totalsRowFunction="count" dataDxfId="325" totalsRowDxfId="324"/>
    <tableColumn id="28" xr3:uid="{00000000-0010-0000-0800-00001C000000}" name="27" totalsRowFunction="count" dataDxfId="323" totalsRowDxfId="322"/>
    <tableColumn id="29" xr3:uid="{00000000-0010-0000-0800-00001D000000}" name="28" totalsRowFunction="count" dataDxfId="321" totalsRowDxfId="320"/>
    <tableColumn id="30" xr3:uid="{00000000-0010-0000-0800-00001E000000}" name="29" totalsRowFunction="count" dataDxfId="319" totalsRowDxfId="318"/>
    <tableColumn id="31" xr3:uid="{00000000-0010-0000-0800-00001F000000}" name="30" totalsRowFunction="count" dataDxfId="317" totalsRowDxfId="316"/>
    <tableColumn id="32" xr3:uid="{00000000-0010-0000-0800-000020000000}" name=" " totalsRowFunction="count" dataDxfId="315" totalsRowDxfId="314"/>
    <tableColumn id="33" xr3:uid="{00000000-0010-0000-0800-000021000000}" name="Datum " totalsRowFunction="sum" dataDxfId="313" totalsRowDxfId="312" dataCellStyle="Celkem">
      <calculatedColumnFormula>COUNTA(Září[[#This Row],[1]:[30]])</calculatedColumnFormula>
    </tableColumn>
  </tableColumns>
  <tableStyleInfo name="Tabulka nepřítomnosti zaměstnanců" showFirstColumn="1" showLastColumn="1" showRowStripes="1" showColumnStripes="0"/>
  <extLst>
    <ext xmlns:x14="http://schemas.microsoft.com/office/spreadsheetml/2009/9/main" uri="{504A1905-F514-4f6f-8877-14C23A59335A}">
      <x14:table altTextSummary="Zadejte jména zaměstnanců a data nepřítomnosti. Zaznamenejte typ nepřítomnosti pro klíč v řádku 12: D=Dovolená, Z=Zdravotní neschopnost, O=Osobní důvody a dva zástupné znaky pro vlastní záznamy"/>
    </ext>
  </extLst>
</table>
</file>

<file path=xl/theme/theme1.xml><?xml version="1.0" encoding="utf-8"?>
<a:theme xmlns:a="http://schemas.openxmlformats.org/drawingml/2006/main" name="Office Theme">
  <a:themeElements>
    <a:clrScheme name="Employee Absens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  <pageSetUpPr fitToPage="1"/>
  </sheetPr>
  <dimension ref="A1:AI11"/>
  <sheetViews>
    <sheetView showGridLines="0" zoomScaleNormal="100" workbookViewId="0">
      <selection activeCell="R16" sqref="R16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34.42578125" customWidth="1"/>
  </cols>
  <sheetData>
    <row r="1" spans="1:35" ht="50.1" customHeight="1" x14ac:dyDescent="0.25">
      <c r="A1" s="8"/>
      <c r="B1" s="12" t="s">
        <v>46</v>
      </c>
    </row>
    <row r="2" spans="1:35" ht="15" customHeight="1" x14ac:dyDescent="0.25">
      <c r="AH2" s="9"/>
    </row>
    <row r="3" spans="1:35" ht="30" customHeight="1" x14ac:dyDescent="0.35">
      <c r="B3" s="3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20">
        <v>2026</v>
      </c>
      <c r="AI3" s="21"/>
    </row>
    <row r="4" spans="1:35" ht="15" customHeight="1" x14ac:dyDescent="0.25">
      <c r="B4" s="3"/>
      <c r="C4" s="1" t="str">
        <f>TEXT(WEEKDAY(DATE(KalendářníRok,1,1),1),"aaa")</f>
        <v>čt</v>
      </c>
      <c r="D4" s="1" t="str">
        <f>TEXT(WEEKDAY(DATE(KalendářníRok,1,2),1),"aaa")</f>
        <v>pá</v>
      </c>
      <c r="E4" s="1" t="str">
        <f>TEXT(WEEKDAY(DATE(KalendářníRok,1,3),1),"aaa")</f>
        <v>so</v>
      </c>
      <c r="F4" s="1" t="str">
        <f>TEXT(WEEKDAY(DATE(KalendářníRok,1,4),1),"aaa")</f>
        <v>ne</v>
      </c>
      <c r="G4" s="1" t="str">
        <f>TEXT(WEEKDAY(DATE(KalendářníRok,1,5),1),"aaa")</f>
        <v>po</v>
      </c>
      <c r="H4" s="1" t="str">
        <f>TEXT(WEEKDAY(DATE(KalendářníRok,1,6),1),"aaa")</f>
        <v>út</v>
      </c>
      <c r="I4" s="1" t="str">
        <f>TEXT(WEEKDAY(DATE(KalendářníRok,1,7),1),"aaa")</f>
        <v>st</v>
      </c>
      <c r="J4" s="1" t="str">
        <f>TEXT(WEEKDAY(DATE(KalendářníRok,1,8),1),"aaa")</f>
        <v>čt</v>
      </c>
      <c r="K4" s="1" t="str">
        <f>TEXT(WEEKDAY(DATE(KalendářníRok,1,9),1),"aaa")</f>
        <v>pá</v>
      </c>
      <c r="L4" s="1" t="str">
        <f>TEXT(WEEKDAY(DATE(KalendářníRok,1,10),1),"aaa")</f>
        <v>so</v>
      </c>
      <c r="M4" s="1" t="str">
        <f>TEXT(WEEKDAY(DATE(KalendářníRok,1,11),1),"aaa")</f>
        <v>ne</v>
      </c>
      <c r="N4" s="1" t="str">
        <f>TEXT(WEEKDAY(DATE(KalendářníRok,1,12),1),"aaa")</f>
        <v>po</v>
      </c>
      <c r="O4" s="1" t="str">
        <f>TEXT(WEEKDAY(DATE(KalendářníRok,1,13),1),"aaa")</f>
        <v>út</v>
      </c>
      <c r="P4" s="1" t="str">
        <f>TEXT(WEEKDAY(DATE(KalendářníRok,1,14),1),"aaa")</f>
        <v>st</v>
      </c>
      <c r="Q4" s="1" t="str">
        <f>TEXT(WEEKDAY(DATE(KalendářníRok,1,15),1),"aaa")</f>
        <v>čt</v>
      </c>
      <c r="R4" s="1" t="str">
        <f>TEXT(WEEKDAY(DATE(KalendářníRok,1,16),1),"aaa")</f>
        <v>pá</v>
      </c>
      <c r="S4" s="1" t="str">
        <f>TEXT(WEEKDAY(DATE(KalendářníRok,1,17),1),"aaa")</f>
        <v>so</v>
      </c>
      <c r="T4" s="1" t="str">
        <f>TEXT(WEEKDAY(DATE(KalendářníRok,1,18),1),"aaa")</f>
        <v>ne</v>
      </c>
      <c r="U4" s="1" t="str">
        <f>TEXT(WEEKDAY(DATE(KalendářníRok,1,19),1),"aaa")</f>
        <v>po</v>
      </c>
      <c r="V4" s="1" t="str">
        <f>TEXT(WEEKDAY(DATE(KalendářníRok,1,20),1),"aaa")</f>
        <v>út</v>
      </c>
      <c r="W4" s="1" t="str">
        <f>TEXT(WEEKDAY(DATE(KalendářníRok,1,21),1),"aaa")</f>
        <v>st</v>
      </c>
      <c r="X4" s="1" t="str">
        <f>TEXT(WEEKDAY(DATE(KalendářníRok,1,22),1),"aaa")</f>
        <v>čt</v>
      </c>
      <c r="Y4" s="1" t="str">
        <f>TEXT(WEEKDAY(DATE(KalendářníRok,1,23),1),"aaa")</f>
        <v>pá</v>
      </c>
      <c r="Z4" s="1" t="str">
        <f>TEXT(WEEKDAY(DATE(KalendářníRok,1,24),1),"aaa")</f>
        <v>so</v>
      </c>
      <c r="AA4" s="1" t="str">
        <f>TEXT(WEEKDAY(DATE(KalendářníRok,1,25),1),"aaa")</f>
        <v>ne</v>
      </c>
      <c r="AB4" s="1" t="str">
        <f>TEXT(WEEKDAY(DATE(KalendářníRok,1,26),1),"aaa")</f>
        <v>po</v>
      </c>
      <c r="AC4" s="1" t="str">
        <f>TEXT(WEEKDAY(DATE(KalendářníRok,1,27),1),"aaa")</f>
        <v>út</v>
      </c>
      <c r="AD4" s="1" t="str">
        <f>TEXT(WEEKDAY(DATE(KalendářníRok,1,28),1),"aaa")</f>
        <v>st</v>
      </c>
      <c r="AE4" s="1" t="str">
        <f>TEXT(WEEKDAY(DATE(KalendářníRok,1,29),1),"aaa")</f>
        <v>čt</v>
      </c>
      <c r="AF4" s="1" t="str">
        <f>TEXT(WEEKDAY(DATE(KalendářníRok,1,30),1),"aaa")</f>
        <v>pá</v>
      </c>
      <c r="AG4" s="1" t="str">
        <f>TEXT(WEEKDAY(DATE(KalendářníRok,1,31),1),"aaa")</f>
        <v>so</v>
      </c>
      <c r="AH4" s="3"/>
      <c r="AI4" s="3"/>
    </row>
    <row r="5" spans="1:35" ht="15" customHeight="1" x14ac:dyDescent="0.25">
      <c r="B5" s="37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18" t="s">
        <v>52</v>
      </c>
    </row>
    <row r="6" spans="1:35" ht="30" customHeight="1" x14ac:dyDescent="0.25">
      <c r="B6" t="s">
        <v>47</v>
      </c>
      <c r="C6" s="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49</v>
      </c>
      <c r="AI6" s="19" t="s">
        <v>54</v>
      </c>
    </row>
    <row r="7" spans="1:35" ht="30" customHeight="1" x14ac:dyDescent="0.25">
      <c r="B7" t="s">
        <v>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2" t="s">
        <v>51</v>
      </c>
      <c r="AI7" s="24" t="s">
        <v>55</v>
      </c>
    </row>
    <row r="8" spans="1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  <c r="AI8" s="19"/>
    </row>
    <row r="9" spans="1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/>
      <c r="AI9" s="19"/>
    </row>
    <row r="10" spans="1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19"/>
    </row>
    <row r="11" spans="1:35" ht="30" customHeight="1" thickBot="1" x14ac:dyDescent="0.3">
      <c r="B11" s="10"/>
      <c r="C11" s="4">
        <f>SUBTOTAL(103,Leden!$C$6:$C$10)</f>
        <v>0</v>
      </c>
      <c r="D11" s="4">
        <f>SUBTOTAL(103,Leden!$D$6:$D$10)</f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15"/>
    </row>
  </sheetData>
  <mergeCells count="1">
    <mergeCell ref="C3:AG3"/>
  </mergeCells>
  <phoneticPr fontId="19" type="noConversion"/>
  <conditionalFormatting sqref="C6:AG10">
    <cfRule type="expression" priority="3" stopIfTrue="1">
      <formula>C6=""</formula>
    </cfRule>
    <cfRule type="expression" dxfId="104" priority="8" stopIfTrue="1">
      <formula>C6=VlastníKlíč2</formula>
    </cfRule>
    <cfRule type="expression" dxfId="103" priority="9" stopIfTrue="1">
      <formula>C6=VlastníKlíč1</formula>
    </cfRule>
    <cfRule type="expression" dxfId="102" priority="10" stopIfTrue="1">
      <formula>C6=KlíčZdravotníNeschopnost</formula>
    </cfRule>
    <cfRule type="expression" dxfId="101" priority="11" stopIfTrue="1">
      <formula>C6=KlíčOsobní</formula>
    </cfRule>
    <cfRule type="expression" dxfId="100" priority="12" stopIfTrue="1">
      <formula>C6=KlíčDovolená</formula>
    </cfRule>
  </conditionalFormatting>
  <conditionalFormatting sqref="AH6:AH10">
    <cfRule type="dataBar" priority="170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conditionalFormatting sqref="AI6:AI10">
    <cfRule type="dataBar" priority="1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{D561EBC2-78F8-49F8-91CA-EA81E4D99E32}</x14:id>
        </ext>
      </extLst>
    </cfRule>
  </conditionalFormatting>
  <dataValidations count="9">
    <dataValidation allowBlank="1" showInputMessage="1" showErrorMessage="1" prompt="Do této buňky zadejte rok." sqref="AH3" xr:uid="{00000000-0002-0000-0000-000000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000-000001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000-000002000000}"/>
    <dataValidation allowBlank="1" showInputMessage="1" showErrorMessage="1" prompt="Pracovní dny v tomto řádku se automaticky aktualizují pro příslušný měsíc podle roku zadaného v AH4. Každý den v měsíci obsahuje sloupec pro zadání nepřítomnosti zaměstnance a jejího typu." sqref="C4" xr:uid="{00000000-0002-0000-0000-000003000000}"/>
    <dataValidation allowBlank="1" showInputMessage="1" showErrorMessage="1" prompt="Automaticky vypočítá celkový počet dní nepřítomnosti zaměstnance v tomto měsíci." sqref="AH5:AI5" xr:uid="{00000000-0002-0000-0000-000004000000}"/>
    <dataValidation allowBlank="1" showInputMessage="1" showErrorMessage="1" prompt="V této buňce je název listu. Aktualizujte název a jednotlivé listy tuto změnu automaticky zdědí." sqref="B1" xr:uid="{00000000-0002-0000-0000-000005000000}"/>
    <dataValidation allowBlank="1" showInputMessage="1" showErrorMessage="1" prompt="Měsíc tohoto plánu nepřítomnosti. Aktualizujte rok v buňce AH4. Součty podle měsíců je možné sledovat v poslední buňce tabulky. Do sloupce B v tabulce zadejte jména zaměstnanců." sqref="B3" xr:uid="{00000000-0002-0000-0000-000006000000}"/>
    <dataValidation allowBlank="1" showInputMessage="1" showErrorMessage="1" prompt="Plán nepřítomnosti zaměstnanců sleduje nepřítomnost zaměstnanců po dnech v každém měsíci. Obsahuje 13 listů – 12 měsíců a jeden pro jména zaměstnanců. V tomto listu se sleduje nepřítomnost v lednu." sqref="A1" xr:uid="{00000000-0002-0000-0000-00000D000000}"/>
    <dataValidation allowBlank="1" showInputMessage="1" showErrorMessage="1" prompt="Do buňky níže zadejte rok." sqref="AH2" xr:uid="{00000000-0002-0000-0000-00000E000000}"/>
  </dataValidations>
  <printOptions horizontalCentered="1"/>
  <pageMargins left="0.25" right="0.25" top="0.75" bottom="0.75" header="0.3" footer="0.3"/>
  <pageSetup paperSize="9" scale="63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D561EBC2-78F8-49F8-91CA-EA81E4D99E32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AI6:AI10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  <pageSetUpPr fitToPage="1"/>
  </sheetPr>
  <dimension ref="B1:AI11"/>
  <sheetViews>
    <sheetView showGridLines="0" zoomScaleNormal="100" workbookViewId="0">
      <selection activeCell="B5" sqref="B5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3.14062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42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"/>
    </row>
    <row r="4" spans="2:35" ht="15" customHeight="1" x14ac:dyDescent="0.25">
      <c r="B4" s="3"/>
      <c r="C4" s="1" t="str">
        <f>TEXT(WEEKDAY(DATE(KalendářníRok,10,1),1),"aaa")</f>
        <v>čt</v>
      </c>
      <c r="D4" s="1" t="str">
        <f>TEXT(WEEKDAY(DATE(KalendářníRok,10,2),1),"aaa")</f>
        <v>pá</v>
      </c>
      <c r="E4" s="1" t="str">
        <f>TEXT(WEEKDAY(DATE(KalendářníRok,10,3),1),"aaa")</f>
        <v>so</v>
      </c>
      <c r="F4" s="1" t="str">
        <f>TEXT(WEEKDAY(DATE(KalendářníRok,10,4),1),"aaa")</f>
        <v>ne</v>
      </c>
      <c r="G4" s="1" t="str">
        <f>TEXT(WEEKDAY(DATE(KalendářníRok,10,5),1),"aaa")</f>
        <v>po</v>
      </c>
      <c r="H4" s="1" t="str">
        <f>TEXT(WEEKDAY(DATE(KalendářníRok,10,6),1),"aaa")</f>
        <v>út</v>
      </c>
      <c r="I4" s="1" t="str">
        <f>TEXT(WEEKDAY(DATE(KalendářníRok,10,7),1),"aaa")</f>
        <v>st</v>
      </c>
      <c r="J4" s="1" t="str">
        <f>TEXT(WEEKDAY(DATE(KalendářníRok,10,8),1),"aaa")</f>
        <v>čt</v>
      </c>
      <c r="K4" s="1" t="str">
        <f>TEXT(WEEKDAY(DATE(KalendářníRok,10,9),1),"aaa")</f>
        <v>pá</v>
      </c>
      <c r="L4" s="1" t="str">
        <f>TEXT(WEEKDAY(DATE(KalendářníRok,10,10),1),"aaa")</f>
        <v>so</v>
      </c>
      <c r="M4" s="1" t="str">
        <f>TEXT(WEEKDAY(DATE(KalendářníRok,10,11),1),"aaa")</f>
        <v>ne</v>
      </c>
      <c r="N4" s="1" t="str">
        <f>TEXT(WEEKDAY(DATE(KalendářníRok,10,12),1),"aaa")</f>
        <v>po</v>
      </c>
      <c r="O4" s="1" t="str">
        <f>TEXT(WEEKDAY(DATE(KalendářníRok,10,13),1),"aaa")</f>
        <v>út</v>
      </c>
      <c r="P4" s="1" t="str">
        <f>TEXT(WEEKDAY(DATE(KalendářníRok,10,14),1),"aaa")</f>
        <v>st</v>
      </c>
      <c r="Q4" s="1" t="str">
        <f>TEXT(WEEKDAY(DATE(KalendářníRok,10,15),1),"aaa")</f>
        <v>čt</v>
      </c>
      <c r="R4" s="1" t="str">
        <f>TEXT(WEEKDAY(DATE(KalendářníRok,10,16),1),"aaa")</f>
        <v>pá</v>
      </c>
      <c r="S4" s="1" t="str">
        <f>TEXT(WEEKDAY(DATE(KalendářníRok,10,17),1),"aaa")</f>
        <v>so</v>
      </c>
      <c r="T4" s="1" t="str">
        <f>TEXT(WEEKDAY(DATE(KalendářníRok,10,18),1),"aaa")</f>
        <v>ne</v>
      </c>
      <c r="U4" s="1" t="str">
        <f>TEXT(WEEKDAY(DATE(KalendářníRok,10,19),1),"aaa")</f>
        <v>po</v>
      </c>
      <c r="V4" s="1" t="str">
        <f>TEXT(WEEKDAY(DATE(KalendářníRok,10,20),1),"aaa")</f>
        <v>út</v>
      </c>
      <c r="W4" s="1" t="str">
        <f>TEXT(WEEKDAY(DATE(KalendářníRok,10,21),1),"aaa")</f>
        <v>st</v>
      </c>
      <c r="X4" s="1" t="str">
        <f>TEXT(WEEKDAY(DATE(KalendářníRok,10,22),1),"aaa")</f>
        <v>čt</v>
      </c>
      <c r="Y4" s="1" t="str">
        <f>TEXT(WEEKDAY(DATE(KalendářníRok,10,23),1),"aaa")</f>
        <v>pá</v>
      </c>
      <c r="Z4" s="1" t="str">
        <f>TEXT(WEEKDAY(DATE(KalendářníRok,10,24),1),"aaa")</f>
        <v>so</v>
      </c>
      <c r="AA4" s="1" t="str">
        <f>TEXT(WEEKDAY(DATE(KalendářníRok,10,25),1),"aaa")</f>
        <v>ne</v>
      </c>
      <c r="AB4" s="1" t="str">
        <f>TEXT(WEEKDAY(DATE(KalendářníRok,10,26),1),"aaa")</f>
        <v>po</v>
      </c>
      <c r="AC4" s="1" t="str">
        <f>TEXT(WEEKDAY(DATE(KalendářníRok,10,27),1),"aaa")</f>
        <v>út</v>
      </c>
      <c r="AD4" s="1" t="str">
        <f>TEXT(WEEKDAY(DATE(KalendářníRok,10,28),1),"aaa")</f>
        <v>st</v>
      </c>
      <c r="AE4" s="1" t="str">
        <f>TEXT(WEEKDAY(DATE(KalendářníRok,10,29),1),"aaa")</f>
        <v>čt</v>
      </c>
      <c r="AF4" s="1" t="str">
        <f>TEXT(WEEKDAY(DATE(KalendářníRok,10,30),1),"aaa")</f>
        <v>pá</v>
      </c>
      <c r="AG4" s="1" t="str">
        <f>TEXT(WEEKDAY(DATE(KalendářníRok,10,31),1),"aaa")</f>
        <v>so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18" t="s">
        <v>52</v>
      </c>
    </row>
    <row r="6" spans="2:35" ht="30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>
        <f>COUNTA(Říjen[[#This Row],[1]:[31]])</f>
        <v>0</v>
      </c>
      <c r="AI6" s="19"/>
    </row>
    <row r="7" spans="2:35" ht="30" customHeight="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>
        <f>COUNTA(Říjen[[#This Row],[1]:[31]])</f>
        <v>0</v>
      </c>
      <c r="AI7" s="19"/>
    </row>
    <row r="8" spans="2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>
        <f>COUNTA(Říjen[[#This Row],[1]:[31]])</f>
        <v>0</v>
      </c>
      <c r="AI8" s="19"/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COUNTA(Říjen[[#This Row],[1]:[31]])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COUNTA(Říjen[[#This Row],[1]:[31]])</f>
        <v>0</v>
      </c>
      <c r="AI10" s="19"/>
    </row>
    <row r="11" spans="2:35" ht="30" customHeight="1" thickBot="1" x14ac:dyDescent="0.3">
      <c r="B11" s="10"/>
      <c r="C11" s="4">
        <f>SUBTOTAL(103,Říjen[1])</f>
        <v>0</v>
      </c>
      <c r="D11" s="4">
        <f>SUBTOTAL(103,Říjen[2])</f>
        <v>0</v>
      </c>
      <c r="E11" s="4">
        <f>SUBTOTAL(103,Říjen[3])</f>
        <v>0</v>
      </c>
      <c r="F11" s="4">
        <f>SUBTOTAL(103,Říjen[4])</f>
        <v>0</v>
      </c>
      <c r="G11" s="4">
        <f>SUBTOTAL(103,Říjen[5])</f>
        <v>0</v>
      </c>
      <c r="H11" s="4">
        <f>SUBTOTAL(103,Říjen[6])</f>
        <v>0</v>
      </c>
      <c r="I11" s="4">
        <f>SUBTOTAL(103,Říjen[7])</f>
        <v>0</v>
      </c>
      <c r="J11" s="4">
        <f>SUBTOTAL(103,Říjen[8])</f>
        <v>0</v>
      </c>
      <c r="K11" s="4">
        <f>SUBTOTAL(103,Říjen[9])</f>
        <v>0</v>
      </c>
      <c r="L11" s="4">
        <f>SUBTOTAL(103,Říjen[10])</f>
        <v>0</v>
      </c>
      <c r="M11" s="4">
        <f>SUBTOTAL(103,Říjen[11])</f>
        <v>0</v>
      </c>
      <c r="N11" s="4">
        <f>SUBTOTAL(103,Říjen[12])</f>
        <v>0</v>
      </c>
      <c r="O11" s="4">
        <f>SUBTOTAL(103,Říjen[13])</f>
        <v>0</v>
      </c>
      <c r="P11" s="4">
        <f>SUBTOTAL(103,Říjen[14])</f>
        <v>0</v>
      </c>
      <c r="Q11" s="4">
        <f>SUBTOTAL(103,Říjen[15])</f>
        <v>0</v>
      </c>
      <c r="R11" s="4">
        <f>SUBTOTAL(103,Říjen[16])</f>
        <v>0</v>
      </c>
      <c r="S11" s="4">
        <f>SUBTOTAL(103,Říjen[17])</f>
        <v>0</v>
      </c>
      <c r="T11" s="4">
        <f>SUBTOTAL(103,Říjen[18])</f>
        <v>0</v>
      </c>
      <c r="U11" s="4">
        <f>SUBTOTAL(103,Říjen[19])</f>
        <v>0</v>
      </c>
      <c r="V11" s="4">
        <f>SUBTOTAL(103,Říjen[20])</f>
        <v>0</v>
      </c>
      <c r="W11" s="4">
        <f>SUBTOTAL(103,Říjen[21])</f>
        <v>0</v>
      </c>
      <c r="X11" s="4">
        <f>SUBTOTAL(103,Říjen[22])</f>
        <v>0</v>
      </c>
      <c r="Y11" s="4">
        <f>SUBTOTAL(103,Říjen[23])</f>
        <v>0</v>
      </c>
      <c r="Z11" s="4">
        <f>SUBTOTAL(103,Říjen[24])</f>
        <v>0</v>
      </c>
      <c r="AA11" s="4">
        <f>SUBTOTAL(103,Říjen[25])</f>
        <v>0</v>
      </c>
      <c r="AB11" s="4">
        <f>SUBTOTAL(103,Říjen[26])</f>
        <v>0</v>
      </c>
      <c r="AC11" s="4">
        <f>SUBTOTAL(103,Říjen[27])</f>
        <v>0</v>
      </c>
      <c r="AD11" s="4">
        <f>SUBTOTAL(103,Říjen[28])</f>
        <v>0</v>
      </c>
      <c r="AE11" s="4">
        <f>SUBTOTAL(103,Říjen[29])</f>
        <v>0</v>
      </c>
      <c r="AF11" s="4">
        <f>SUBTOTAL(103,Říjen[30])</f>
        <v>0</v>
      </c>
      <c r="AG11" s="4">
        <f>SUBTOTAL(103,Říjen[31])</f>
        <v>0</v>
      </c>
      <c r="AH11" s="4">
        <f>SUBTOTAL(109,Říjen[[Datum ]])</f>
        <v>0</v>
      </c>
      <c r="AI11" s="15">
        <f>SUBTOTAL(109,Říjen[[Datum ]])</f>
        <v>0</v>
      </c>
    </row>
  </sheetData>
  <mergeCells count="1">
    <mergeCell ref="C3:AG3"/>
  </mergeCells>
  <conditionalFormatting sqref="C6:AG10">
    <cfRule type="expression" priority="3" stopIfTrue="1">
      <formula>C6=""</formula>
    </cfRule>
    <cfRule type="expression" dxfId="47" priority="4" stopIfTrue="1">
      <formula>C6=VlastníKlíč2</formula>
    </cfRule>
    <cfRule type="expression" dxfId="46" priority="5" stopIfTrue="1">
      <formula>C6=VlastníKlíč1</formula>
    </cfRule>
    <cfRule type="expression" dxfId="45" priority="6" stopIfTrue="1">
      <formula>C6=KlíčZdravotníNeschopnost</formula>
    </cfRule>
    <cfRule type="expression" dxfId="44" priority="7" stopIfTrue="1">
      <formula>C6=KlíčOsobní</formula>
    </cfRule>
    <cfRule type="expression" dxfId="43" priority="8" stopIfTrue="1">
      <formula>C6=KlíčDovolená</formula>
    </cfRule>
  </conditionalFormatting>
  <conditionalFormatting sqref="AH6:AH10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conditionalFormatting sqref="AI6:AI10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{6D7F6F41-FA2A-43DF-961C-AE1E5DF85D59}</x14:id>
        </ext>
      </extLst>
    </cfRule>
  </conditionalFormatting>
  <dataValidations count="8"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900-000000000000}"/>
    <dataValidation allowBlank="1" showInputMessage="1" showErrorMessage="1" prompt="Automaticky aktualizovaný rok na základě roku zadaného v listu Leden." sqref="AH3:AI3" xr:uid="{00000000-0002-0000-0900-000001000000}"/>
    <dataValidation allowBlank="1" showInputMessage="1" showErrorMessage="1" prompt="V tomto listu se sleduje nepřítomnost v říjnu." sqref="A1" xr:uid="{00000000-0002-0000-0900-000003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900-000004000000}"/>
    <dataValidation allowBlank="1" showInputMessage="1" showErrorMessage="1" prompt="V této buňce je automaticky aktualizovaný název. Pokud chcete upravit název, aktualizujte buňku B1 na listu Leden." sqref="B1" xr:uid="{00000000-0002-0000-0900-000005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900-00000C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900-00000D000000}"/>
    <dataValidation allowBlank="1" showInputMessage="1" showErrorMessage="1" prompt="Automaticky vypočítá celkový počet dní nepřítomnosti zaměstnance v tomto měsíci." sqref="AH5:AI5" xr:uid="{CAFA5B7B-3D16-4EB9-AC25-F98D5E3FC244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6D7F6F41-FA2A-43DF-961C-AE1E5DF85D59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AI6:AI10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  <pageSetUpPr fitToPage="1"/>
  </sheetPr>
  <dimension ref="B1:AI11"/>
  <sheetViews>
    <sheetView showGridLines="0" zoomScaleNormal="100" workbookViewId="0">
      <selection activeCell="V15" sqref="V15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0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43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TEXT(WEEKDAY(DATE(KalendářníRok,11,1),1),"aaa")</f>
        <v>ne</v>
      </c>
      <c r="D4" s="1" t="str">
        <f>TEXT(WEEKDAY(DATE(KalendářníRok,11,2),1),"aaa")</f>
        <v>po</v>
      </c>
      <c r="E4" s="1" t="str">
        <f>TEXT(WEEKDAY(DATE(KalendářníRok,11,3),1),"aaa")</f>
        <v>út</v>
      </c>
      <c r="F4" s="1" t="str">
        <f>TEXT(WEEKDAY(DATE(KalendářníRok,11,4),1),"aaa")</f>
        <v>st</v>
      </c>
      <c r="G4" s="1" t="str">
        <f>TEXT(WEEKDAY(DATE(KalendářníRok,11,5),1),"aaa")</f>
        <v>čt</v>
      </c>
      <c r="H4" s="1" t="str">
        <f>TEXT(WEEKDAY(DATE(KalendářníRok,11,6),1),"aaa")</f>
        <v>pá</v>
      </c>
      <c r="I4" s="1" t="str">
        <f>TEXT(WEEKDAY(DATE(KalendářníRok,11,7),1),"aaa")</f>
        <v>so</v>
      </c>
      <c r="J4" s="1" t="str">
        <f>TEXT(WEEKDAY(DATE(KalendářníRok,11,8),1),"aaa")</f>
        <v>ne</v>
      </c>
      <c r="K4" s="1" t="str">
        <f>TEXT(WEEKDAY(DATE(KalendářníRok,11,9),1),"aaa")</f>
        <v>po</v>
      </c>
      <c r="L4" s="1" t="str">
        <f>TEXT(WEEKDAY(DATE(KalendářníRok,11,10),1),"aaa")</f>
        <v>út</v>
      </c>
      <c r="M4" s="1" t="str">
        <f>TEXT(WEEKDAY(DATE(KalendářníRok,11,11),1),"aaa")</f>
        <v>st</v>
      </c>
      <c r="N4" s="1" t="str">
        <f>TEXT(WEEKDAY(DATE(KalendářníRok,11,12),1),"aaa")</f>
        <v>čt</v>
      </c>
      <c r="O4" s="1" t="str">
        <f>TEXT(WEEKDAY(DATE(KalendářníRok,11,13),1),"aaa")</f>
        <v>pá</v>
      </c>
      <c r="P4" s="1" t="str">
        <f>TEXT(WEEKDAY(DATE(KalendářníRok,11,14),1),"aaa")</f>
        <v>so</v>
      </c>
      <c r="Q4" s="1" t="str">
        <f>TEXT(WEEKDAY(DATE(KalendářníRok,11,15),1),"aaa")</f>
        <v>ne</v>
      </c>
      <c r="R4" s="1" t="str">
        <f>TEXT(WEEKDAY(DATE(KalendářníRok,11,16),1),"aaa")</f>
        <v>po</v>
      </c>
      <c r="S4" s="1" t="str">
        <f>TEXT(WEEKDAY(DATE(KalendářníRok,11,17),1),"aaa")</f>
        <v>út</v>
      </c>
      <c r="T4" s="1" t="str">
        <f>TEXT(WEEKDAY(DATE(KalendářníRok,11,18),1),"aaa")</f>
        <v>st</v>
      </c>
      <c r="U4" s="1" t="str">
        <f>TEXT(WEEKDAY(DATE(KalendářníRok,11,19),1),"aaa")</f>
        <v>čt</v>
      </c>
      <c r="V4" s="1" t="str">
        <f>TEXT(WEEKDAY(DATE(KalendářníRok,11,20),1),"aaa")</f>
        <v>pá</v>
      </c>
      <c r="W4" s="1" t="str">
        <f>TEXT(WEEKDAY(DATE(KalendářníRok,11,21),1),"aaa")</f>
        <v>so</v>
      </c>
      <c r="X4" s="1" t="str">
        <f>TEXT(WEEKDAY(DATE(KalendářníRok,11,22),1),"aaa")</f>
        <v>ne</v>
      </c>
      <c r="Y4" s="1" t="str">
        <f>TEXT(WEEKDAY(DATE(KalendářníRok,11,23),1),"aaa")</f>
        <v>po</v>
      </c>
      <c r="Z4" s="1" t="str">
        <f>TEXT(WEEKDAY(DATE(KalendářníRok,11,24),1),"aaa")</f>
        <v>út</v>
      </c>
      <c r="AA4" s="1" t="str">
        <f>TEXT(WEEKDAY(DATE(KalendářníRok,11,25),1),"aaa")</f>
        <v>st</v>
      </c>
      <c r="AB4" s="1" t="str">
        <f>TEXT(WEEKDAY(DATE(KalendářníRok,11,26),1),"aaa")</f>
        <v>čt</v>
      </c>
      <c r="AC4" s="1" t="str">
        <f>TEXT(WEEKDAY(DATE(KalendářníRok,11,27),1),"aaa")</f>
        <v>pá</v>
      </c>
      <c r="AD4" s="1" t="str">
        <f>TEXT(WEEKDAY(DATE(KalendářníRok,11,28),1),"aaa")</f>
        <v>so</v>
      </c>
      <c r="AE4" s="1" t="str">
        <f>TEXT(WEEKDAY(DATE(KalendářníRok,11,29),1),"aaa")</f>
        <v>ne</v>
      </c>
      <c r="AF4" s="1" t="str">
        <f>TEXT(WEEKDAY(DATE(KalendářníRok,11,30),1),"aaa")</f>
        <v>po</v>
      </c>
      <c r="AG4" s="1"/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33</v>
      </c>
      <c r="AH5" s="7" t="s">
        <v>53</v>
      </c>
      <c r="AI5" s="18" t="s">
        <v>52</v>
      </c>
    </row>
    <row r="6" spans="2:35" ht="30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>
        <f>COUNTA(Listopad[[#This Row],[1]:[30]])</f>
        <v>0</v>
      </c>
      <c r="AI6" s="19"/>
    </row>
    <row r="7" spans="2:35" ht="30" customHeight="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>
        <f>COUNTA(Listopad[[#This Row],[1]:[30]])</f>
        <v>0</v>
      </c>
      <c r="AI7" s="19"/>
    </row>
    <row r="8" spans="2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>
        <f>COUNTA(Listopad[[#This Row],[1]:[30]])</f>
        <v>0</v>
      </c>
      <c r="AI8" s="19"/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COUNTA(Listopad[[#This Row],[1]:[30]])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COUNTA(Listopad[[#This Row],[1]:[30]])</f>
        <v>0</v>
      </c>
      <c r="AI10" s="19"/>
    </row>
    <row r="11" spans="2:35" ht="30" customHeight="1" thickBot="1" x14ac:dyDescent="0.3">
      <c r="B11" s="10"/>
      <c r="C11" s="4">
        <f>SUBTOTAL(103,Listopad[1])</f>
        <v>0</v>
      </c>
      <c r="D11" s="4">
        <f>SUBTOTAL(103,Listopad[2])</f>
        <v>0</v>
      </c>
      <c r="E11" s="4">
        <f>SUBTOTAL(103,Listopad[3])</f>
        <v>0</v>
      </c>
      <c r="F11" s="4">
        <f>SUBTOTAL(103,Listopad[4])</f>
        <v>0</v>
      </c>
      <c r="G11" s="4">
        <f>SUBTOTAL(103,Listopad[5])</f>
        <v>0</v>
      </c>
      <c r="H11" s="4">
        <f>SUBTOTAL(103,Listopad[6])</f>
        <v>0</v>
      </c>
      <c r="I11" s="4">
        <f>SUBTOTAL(103,Listopad[7])</f>
        <v>0</v>
      </c>
      <c r="J11" s="4">
        <f>SUBTOTAL(103,Listopad[8])</f>
        <v>0</v>
      </c>
      <c r="K11" s="4">
        <f>SUBTOTAL(103,Listopad[9])</f>
        <v>0</v>
      </c>
      <c r="L11" s="4">
        <f>SUBTOTAL(103,Listopad[10])</f>
        <v>0</v>
      </c>
      <c r="M11" s="4">
        <f>SUBTOTAL(103,Listopad[11])</f>
        <v>0</v>
      </c>
      <c r="N11" s="4">
        <f>SUBTOTAL(103,Listopad[12])</f>
        <v>0</v>
      </c>
      <c r="O11" s="4">
        <f>SUBTOTAL(103,Listopad[13])</f>
        <v>0</v>
      </c>
      <c r="P11" s="4">
        <f>SUBTOTAL(103,Listopad[14])</f>
        <v>0</v>
      </c>
      <c r="Q11" s="4">
        <f>SUBTOTAL(103,Listopad[15])</f>
        <v>0</v>
      </c>
      <c r="R11" s="4">
        <f>SUBTOTAL(103,Listopad[16])</f>
        <v>0</v>
      </c>
      <c r="S11" s="4">
        <f>SUBTOTAL(103,Listopad[17])</f>
        <v>0</v>
      </c>
      <c r="T11" s="4">
        <f>SUBTOTAL(103,Listopad[18])</f>
        <v>0</v>
      </c>
      <c r="U11" s="4">
        <f>SUBTOTAL(103,Listopad[19])</f>
        <v>0</v>
      </c>
      <c r="V11" s="4">
        <f>SUBTOTAL(103,Listopad[20])</f>
        <v>0</v>
      </c>
      <c r="W11" s="4">
        <f>SUBTOTAL(103,Listopad[21])</f>
        <v>0</v>
      </c>
      <c r="X11" s="4">
        <f>SUBTOTAL(103,Listopad[22])</f>
        <v>0</v>
      </c>
      <c r="Y11" s="4">
        <f>SUBTOTAL(103,Listopad[23])</f>
        <v>0</v>
      </c>
      <c r="Z11" s="4">
        <f>SUBTOTAL(103,Listopad[24])</f>
        <v>0</v>
      </c>
      <c r="AA11" s="4">
        <f>SUBTOTAL(103,Listopad[25])</f>
        <v>0</v>
      </c>
      <c r="AB11" s="4">
        <f>SUBTOTAL(103,Listopad[26])</f>
        <v>0</v>
      </c>
      <c r="AC11" s="4">
        <f>SUBTOTAL(103,Listopad[27])</f>
        <v>0</v>
      </c>
      <c r="AD11" s="4">
        <f>SUBTOTAL(103,Listopad[28])</f>
        <v>0</v>
      </c>
      <c r="AE11" s="4">
        <f>SUBTOTAL(103,Listopad[29])</f>
        <v>0</v>
      </c>
      <c r="AF11" s="4">
        <f>SUBTOTAL(103,Listopad[30])</f>
        <v>0</v>
      </c>
      <c r="AG11" s="4">
        <f>SUBTOTAL(103,Listopad[[ ]])</f>
        <v>0</v>
      </c>
      <c r="AH11" s="4">
        <f>SUBTOTAL(109,Listopad[[Datum ]])</f>
        <v>0</v>
      </c>
      <c r="AI11" s="15">
        <f>SUBTOTAL(109,Listopad[[Datum ]])</f>
        <v>0</v>
      </c>
    </row>
  </sheetData>
  <mergeCells count="1">
    <mergeCell ref="C3:AG3"/>
  </mergeCells>
  <conditionalFormatting sqref="C6:AG10">
    <cfRule type="expression" priority="3" stopIfTrue="1">
      <formula>C6=""</formula>
    </cfRule>
    <cfRule type="expression" dxfId="42" priority="4" stopIfTrue="1">
      <formula>C6=VlastníKlíč2</formula>
    </cfRule>
    <cfRule type="expression" dxfId="41" priority="5" stopIfTrue="1">
      <formula>C6=VlastníKlíč1</formula>
    </cfRule>
    <cfRule type="expression" dxfId="40" priority="6" stopIfTrue="1">
      <formula>C6=KlíčZdravotníNeschopnost</formula>
    </cfRule>
    <cfRule type="expression" dxfId="39" priority="7" stopIfTrue="1">
      <formula>C6=KlíčOsobní</formula>
    </cfRule>
    <cfRule type="expression" dxfId="38" priority="8" stopIfTrue="1">
      <formula>C6=KlíčDovolená</formula>
    </cfRule>
  </conditionalFormatting>
  <conditionalFormatting sqref="AH6:AH10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conditionalFormatting sqref="AI6:AI10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{279C64D7-B8CB-42A2-942B-69C4F2C31742}</x14:id>
        </ext>
      </extLst>
    </cfRule>
  </conditionalFormatting>
  <dataValidations count="8"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A00-000000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A00-000001000000}"/>
    <dataValidation allowBlank="1" showInputMessage="1" showErrorMessage="1" prompt="V této buňce je automaticky aktualizovaný název. Pokud chcete upravit název, aktualizujte buňku B1 na listu Leden." sqref="B1" xr:uid="{00000000-0002-0000-0A00-000008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A00-000009000000}"/>
    <dataValidation allowBlank="1" showInputMessage="1" showErrorMessage="1" prompt="V tomto listu se sleduje nepřítomnost v listopadu." sqref="A1" xr:uid="{00000000-0002-0000-0A00-00000A000000}"/>
    <dataValidation allowBlank="1" showInputMessage="1" showErrorMessage="1" prompt="Automaticky aktualizovaný rok na základě roku zadaného v listu Leden." sqref="AH3" xr:uid="{00000000-0002-0000-0A00-00000C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A00-00000D000000}"/>
    <dataValidation allowBlank="1" showInputMessage="1" showErrorMessage="1" prompt="Automaticky vypočítá celkový počet dní nepřítomnosti zaměstnance v tomto měsíci." sqref="AH5:AI5" xr:uid="{88D6FF29-3A6D-4745-AE77-9AD2D8DA88C2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279C64D7-B8CB-42A2-942B-69C4F2C31742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AI6:AI10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B1:AI11"/>
  <sheetViews>
    <sheetView showGridLines="0" zoomScaleNormal="100" workbookViewId="0">
      <selection activeCell="AC12" sqref="AC12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0.2851562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TEXT(WEEKDAY(DATE(KalendářníRok,12,1),1),"aaa")</f>
        <v>út</v>
      </c>
      <c r="D4" s="1" t="str">
        <f>TEXT(WEEKDAY(DATE(KalendářníRok,12,2),1),"aaa")</f>
        <v>st</v>
      </c>
      <c r="E4" s="1" t="str">
        <f>TEXT(WEEKDAY(DATE(KalendářníRok,12,3),1),"aaa")</f>
        <v>čt</v>
      </c>
      <c r="F4" s="1" t="str">
        <f>TEXT(WEEKDAY(DATE(KalendářníRok,12,4),1),"aaa")</f>
        <v>pá</v>
      </c>
      <c r="G4" s="1" t="str">
        <f>TEXT(WEEKDAY(DATE(KalendářníRok,12,5),1),"aaa")</f>
        <v>so</v>
      </c>
      <c r="H4" s="1" t="str">
        <f>TEXT(WEEKDAY(DATE(KalendářníRok,12,6),1),"aaa")</f>
        <v>ne</v>
      </c>
      <c r="I4" s="1" t="str">
        <f>TEXT(WEEKDAY(DATE(KalendářníRok,12,7),1),"aaa")</f>
        <v>po</v>
      </c>
      <c r="J4" s="1" t="str">
        <f>TEXT(WEEKDAY(DATE(KalendářníRok,12,8),1),"aaa")</f>
        <v>út</v>
      </c>
      <c r="K4" s="1" t="str">
        <f>TEXT(WEEKDAY(DATE(KalendářníRok,12,9),1),"aaa")</f>
        <v>st</v>
      </c>
      <c r="L4" s="1" t="str">
        <f>TEXT(WEEKDAY(DATE(KalendářníRok,12,10),1),"aaa")</f>
        <v>čt</v>
      </c>
      <c r="M4" s="1" t="str">
        <f>TEXT(WEEKDAY(DATE(KalendářníRok,12,11),1),"aaa")</f>
        <v>pá</v>
      </c>
      <c r="N4" s="1" t="str">
        <f>TEXT(WEEKDAY(DATE(KalendářníRok,12,12),1),"aaa")</f>
        <v>so</v>
      </c>
      <c r="O4" s="1" t="str">
        <f>TEXT(WEEKDAY(DATE(KalendářníRok,12,13),1),"aaa")</f>
        <v>ne</v>
      </c>
      <c r="P4" s="1" t="str">
        <f>TEXT(WEEKDAY(DATE(KalendářníRok,12,14),1),"aaa")</f>
        <v>po</v>
      </c>
      <c r="Q4" s="1" t="str">
        <f>TEXT(WEEKDAY(DATE(KalendářníRok,12,15),1),"aaa")</f>
        <v>út</v>
      </c>
      <c r="R4" s="1" t="str">
        <f>TEXT(WEEKDAY(DATE(KalendářníRok,12,16),1),"aaa")</f>
        <v>st</v>
      </c>
      <c r="S4" s="1" t="str">
        <f>TEXT(WEEKDAY(DATE(KalendářníRok,12,17),1),"aaa")</f>
        <v>čt</v>
      </c>
      <c r="T4" s="1" t="str">
        <f>TEXT(WEEKDAY(DATE(KalendářníRok,12,18),1),"aaa")</f>
        <v>pá</v>
      </c>
      <c r="U4" s="1" t="str">
        <f>TEXT(WEEKDAY(DATE(KalendářníRok,12,19),1),"aaa")</f>
        <v>so</v>
      </c>
      <c r="V4" s="1" t="str">
        <f>TEXT(WEEKDAY(DATE(KalendářníRok,12,20),1),"aaa")</f>
        <v>ne</v>
      </c>
      <c r="W4" s="1" t="str">
        <f>TEXT(WEEKDAY(DATE(KalendářníRok,12,21),1),"aaa")</f>
        <v>po</v>
      </c>
      <c r="X4" s="1" t="str">
        <f>TEXT(WEEKDAY(DATE(KalendářníRok,12,22),1),"aaa")</f>
        <v>út</v>
      </c>
      <c r="Y4" s="1" t="str">
        <f>TEXT(WEEKDAY(DATE(KalendářníRok,12,23),1),"aaa")</f>
        <v>st</v>
      </c>
      <c r="Z4" s="1" t="str">
        <f>TEXT(WEEKDAY(DATE(KalendářníRok,12,24),1),"aaa")</f>
        <v>čt</v>
      </c>
      <c r="AA4" s="1" t="str">
        <f>TEXT(WEEKDAY(DATE(KalendářníRok,12,25),1),"aaa")</f>
        <v>pá</v>
      </c>
      <c r="AB4" s="1" t="str">
        <f>TEXT(WEEKDAY(DATE(KalendářníRok,12,26),1),"aaa")</f>
        <v>so</v>
      </c>
      <c r="AC4" s="1" t="str">
        <f>TEXT(WEEKDAY(DATE(KalendářníRok,12,27),1),"aaa")</f>
        <v>ne</v>
      </c>
      <c r="AD4" s="1" t="str">
        <f>TEXT(WEEKDAY(DATE(KalendářníRok,12,28),1),"aaa")</f>
        <v>po</v>
      </c>
      <c r="AE4" s="1" t="str">
        <f>TEXT(WEEKDAY(DATE(KalendářníRok,12,29),1),"aaa")</f>
        <v>út</v>
      </c>
      <c r="AF4" s="1" t="str">
        <f>TEXT(WEEKDAY(DATE(KalendářníRok,12,30),1),"aaa")</f>
        <v>st</v>
      </c>
      <c r="AG4" s="1" t="str">
        <f>TEXT(WEEKDAY(DATE(KalendářníRok,12,31),1),"aaa")</f>
        <v>čt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18" t="s">
        <v>52</v>
      </c>
    </row>
    <row r="6" spans="2:35" ht="30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>
        <f>COUNTA(Prosinec[[#This Row],[1]:[31]])</f>
        <v>0</v>
      </c>
      <c r="AI6" s="19"/>
    </row>
    <row r="7" spans="2:35" ht="30" customHeight="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>
        <f>COUNTA(Prosinec[[#This Row],[1]:[31]])</f>
        <v>0</v>
      </c>
      <c r="AI7" s="19"/>
    </row>
    <row r="8" spans="2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>
        <f>COUNTA(Prosinec[[#This Row],[1]:[31]])</f>
        <v>0</v>
      </c>
      <c r="AI8" s="19"/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COUNTA(Prosinec[[#This Row],[1]:[31]])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COUNTA(Prosinec[[#This Row],[1]:[31]])</f>
        <v>0</v>
      </c>
      <c r="AI10" s="19"/>
    </row>
    <row r="11" spans="2:35" ht="30" customHeight="1" thickBot="1" x14ac:dyDescent="0.3">
      <c r="B11" s="10"/>
      <c r="C11" s="4">
        <f>SUBTOTAL(103,Prosinec[1])</f>
        <v>0</v>
      </c>
      <c r="D11" s="4">
        <f>SUBTOTAL(103,Prosinec[2])</f>
        <v>0</v>
      </c>
      <c r="E11" s="4">
        <f>SUBTOTAL(103,Prosinec[3])</f>
        <v>0</v>
      </c>
      <c r="F11" s="4">
        <f>SUBTOTAL(103,Prosinec[4])</f>
        <v>0</v>
      </c>
      <c r="G11" s="4">
        <f>SUBTOTAL(103,Prosinec[5])</f>
        <v>0</v>
      </c>
      <c r="H11" s="4">
        <f>SUBTOTAL(103,Prosinec[6])</f>
        <v>0</v>
      </c>
      <c r="I11" s="4">
        <f>SUBTOTAL(103,Prosinec[7])</f>
        <v>0</v>
      </c>
      <c r="J11" s="4">
        <f>SUBTOTAL(103,Prosinec[8])</f>
        <v>0</v>
      </c>
      <c r="K11" s="4">
        <f>SUBTOTAL(103,Prosinec[9])</f>
        <v>0</v>
      </c>
      <c r="L11" s="4">
        <f>SUBTOTAL(103,Prosinec[10])</f>
        <v>0</v>
      </c>
      <c r="M11" s="4">
        <f>SUBTOTAL(103,Prosinec[11])</f>
        <v>0</v>
      </c>
      <c r="N11" s="4">
        <f>SUBTOTAL(103,Prosinec[12])</f>
        <v>0</v>
      </c>
      <c r="O11" s="4">
        <f>SUBTOTAL(103,Prosinec[13])</f>
        <v>0</v>
      </c>
      <c r="P11" s="4">
        <f>SUBTOTAL(103,Prosinec[14])</f>
        <v>0</v>
      </c>
      <c r="Q11" s="4">
        <f>SUBTOTAL(103,Prosinec[15])</f>
        <v>0</v>
      </c>
      <c r="R11" s="4">
        <f>SUBTOTAL(103,Prosinec[16])</f>
        <v>0</v>
      </c>
      <c r="S11" s="4">
        <f>SUBTOTAL(103,Prosinec[17])</f>
        <v>0</v>
      </c>
      <c r="T11" s="4">
        <f>SUBTOTAL(103,Prosinec[18])</f>
        <v>0</v>
      </c>
      <c r="U11" s="4">
        <f>SUBTOTAL(103,Prosinec[19])</f>
        <v>0</v>
      </c>
      <c r="V11" s="4">
        <f>SUBTOTAL(103,Prosinec[20])</f>
        <v>0</v>
      </c>
      <c r="W11" s="4">
        <f>SUBTOTAL(103,Prosinec[21])</f>
        <v>0</v>
      </c>
      <c r="X11" s="4">
        <f>SUBTOTAL(103,Prosinec[22])</f>
        <v>0</v>
      </c>
      <c r="Y11" s="4">
        <f>SUBTOTAL(103,Prosinec[23])</f>
        <v>0</v>
      </c>
      <c r="Z11" s="4">
        <f>SUBTOTAL(103,Prosinec[24])</f>
        <v>0</v>
      </c>
      <c r="AA11" s="4">
        <f>SUBTOTAL(103,Prosinec[25])</f>
        <v>0</v>
      </c>
      <c r="AB11" s="4">
        <f>SUBTOTAL(103,Prosinec[26])</f>
        <v>0</v>
      </c>
      <c r="AC11" s="4">
        <f>SUBTOTAL(103,Prosinec[27])</f>
        <v>0</v>
      </c>
      <c r="AD11" s="4">
        <f>SUBTOTAL(103,Prosinec[28])</f>
        <v>0</v>
      </c>
      <c r="AE11" s="4">
        <f>SUBTOTAL(103,Prosinec[29])</f>
        <v>0</v>
      </c>
      <c r="AF11" s="4">
        <f>SUBTOTAL(103,Prosinec[30])</f>
        <v>0</v>
      </c>
      <c r="AG11" s="4">
        <f>SUBTOTAL(103,Prosinec[31])</f>
        <v>0</v>
      </c>
      <c r="AH11" s="4">
        <f>SUBTOTAL(109,Prosinec[[Datum ]])</f>
        <v>0</v>
      </c>
      <c r="AI11" s="15">
        <f>SUBTOTAL(109,Prosinec[[Datum ]])</f>
        <v>0</v>
      </c>
    </row>
  </sheetData>
  <mergeCells count="1">
    <mergeCell ref="C3:AG3"/>
  </mergeCells>
  <conditionalFormatting sqref="C6:AG10">
    <cfRule type="expression" priority="3" stopIfTrue="1">
      <formula>C6=""</formula>
    </cfRule>
    <cfRule type="expression" dxfId="37" priority="4" stopIfTrue="1">
      <formula>C6=VlastníKlíč2</formula>
    </cfRule>
    <cfRule type="expression" dxfId="36" priority="5" stopIfTrue="1">
      <formula>C6=VlastníKlíč1</formula>
    </cfRule>
    <cfRule type="expression" dxfId="35" priority="6" stopIfTrue="1">
      <formula>C6=KlíčZdravotníNeschopnost</formula>
    </cfRule>
    <cfRule type="expression" dxfId="34" priority="7" stopIfTrue="1">
      <formula>C6=KlíčOsobní</formula>
    </cfRule>
    <cfRule type="expression" dxfId="33" priority="8" stopIfTrue="1">
      <formula>C6=KlíčDovolená</formula>
    </cfRule>
  </conditionalFormatting>
  <conditionalFormatting sqref="AH6:AH10">
    <cfRule type="dataBar" priority="32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AI6:AI10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{57E5D77F-20E5-4DC4-BDFD-8CE861C13F51}</x14:id>
        </ext>
      </extLst>
    </cfRule>
  </conditionalFormatting>
  <dataValidations count="8">
    <dataValidation allowBlank="1" showInputMessage="1" showErrorMessage="1" prompt="Automaticky aktualizovaný rok na základě roku zadaného v listu Leden." sqref="AH3" xr:uid="{00000000-0002-0000-0B00-000000000000}"/>
    <dataValidation allowBlank="1" showInputMessage="1" showErrorMessage="1" prompt="V tomto listu se sleduje nepřítomnost v prosinci." sqref="A1" xr:uid="{00000000-0002-0000-0B00-000002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B00-000003000000}"/>
    <dataValidation allowBlank="1" showInputMessage="1" showErrorMessage="1" prompt="V této buňce je automaticky aktualizovaný název. Pokud chcete upravit název, aktualizujte buňku B1 na listu Leden." sqref="B1" xr:uid="{00000000-0002-0000-0B00-000004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B00-00000B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B00-00000C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B00-00000D000000}"/>
    <dataValidation allowBlank="1" showInputMessage="1" showErrorMessage="1" prompt="Automaticky vypočítá celkový počet dní nepřítomnosti zaměstnance v tomto měsíci." sqref="AH5:AI5" xr:uid="{6DC9D0BF-DE09-4551-ACE6-09FA0DE6907B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57E5D77F-20E5-4DC4-BDFD-8CE861C13F51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AI6:AI10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fitToPage="1"/>
  </sheetPr>
  <dimension ref="B1:AK11"/>
  <sheetViews>
    <sheetView showGridLines="0" zoomScaleNormal="100" workbookViewId="0">
      <selection activeCell="Q27" sqref="Q27"/>
    </sheetView>
  </sheetViews>
  <sheetFormatPr defaultColWidth="9.140625"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.7109375" customWidth="1"/>
    <col min="37" max="37" width="21.42578125" customWidth="1"/>
  </cols>
  <sheetData>
    <row r="1" spans="2:37" ht="50.1" customHeight="1" x14ac:dyDescent="0.25">
      <c r="B1" s="14" t="str">
        <f>Název_nepřítomnosti_zaměstnanců</f>
        <v xml:space="preserve">Druhotná umístění </v>
      </c>
    </row>
    <row r="2" spans="2:37" ht="15" customHeight="1" x14ac:dyDescent="0.25"/>
    <row r="3" spans="2:37" ht="30" customHeight="1" x14ac:dyDescent="0.35">
      <c r="B3" s="3" t="s">
        <v>32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20">
        <v>2026</v>
      </c>
      <c r="AI3" s="21"/>
      <c r="AJ3" s="21"/>
      <c r="AK3" s="21"/>
    </row>
    <row r="4" spans="2:37" ht="15" customHeight="1" x14ac:dyDescent="0.25">
      <c r="B4" s="3"/>
      <c r="C4" s="1" t="str">
        <f>TEXT(WEEKDAY(DATE(KalendářníRok,2,1),1),"aaa")</f>
        <v>ne</v>
      </c>
      <c r="D4" s="1" t="str">
        <f>TEXT(WEEKDAY(DATE(KalendářníRok,2,2),1),"aaa")</f>
        <v>po</v>
      </c>
      <c r="E4" s="1" t="str">
        <f>TEXT(WEEKDAY(DATE(KalendářníRok,2,3),1),"aaa")</f>
        <v>út</v>
      </c>
      <c r="F4" s="1" t="str">
        <f>TEXT(WEEKDAY(DATE(KalendářníRok,2,4),1),"aaa")</f>
        <v>st</v>
      </c>
      <c r="G4" s="1" t="str">
        <f>TEXT(WEEKDAY(DATE(KalendářníRok,2,5),1),"aaa")</f>
        <v>čt</v>
      </c>
      <c r="H4" s="1" t="str">
        <f>TEXT(WEEKDAY(DATE(KalendářníRok,2,6),1),"aaa")</f>
        <v>pá</v>
      </c>
      <c r="I4" s="1" t="str">
        <f>TEXT(WEEKDAY(DATE(KalendářníRok,2,7),1),"aaa")</f>
        <v>so</v>
      </c>
      <c r="J4" s="1" t="str">
        <f>TEXT(WEEKDAY(DATE(KalendářníRok,2,8),1),"aaa")</f>
        <v>ne</v>
      </c>
      <c r="K4" s="1" t="str">
        <f>TEXT(WEEKDAY(DATE(KalendářníRok,2,9),1),"aaa")</f>
        <v>po</v>
      </c>
      <c r="L4" s="1" t="str">
        <f>TEXT(WEEKDAY(DATE(KalendářníRok,2,10),1),"aaa")</f>
        <v>út</v>
      </c>
      <c r="M4" s="1" t="str">
        <f>TEXT(WEEKDAY(DATE(KalendářníRok,2,11),1),"aaa")</f>
        <v>st</v>
      </c>
      <c r="N4" s="1" t="str">
        <f>TEXT(WEEKDAY(DATE(KalendářníRok,2,12),1),"aaa")</f>
        <v>čt</v>
      </c>
      <c r="O4" s="1" t="str">
        <f>TEXT(WEEKDAY(DATE(KalendářníRok,2,13),1),"aaa")</f>
        <v>pá</v>
      </c>
      <c r="P4" s="1" t="str">
        <f>TEXT(WEEKDAY(DATE(KalendářníRok,2,14),1),"aaa")</f>
        <v>so</v>
      </c>
      <c r="Q4" s="1" t="str">
        <f>TEXT(WEEKDAY(DATE(KalendářníRok,2,15),1),"aaa")</f>
        <v>ne</v>
      </c>
      <c r="R4" s="1" t="str">
        <f>TEXT(WEEKDAY(DATE(KalendářníRok,2,16),1),"aaa")</f>
        <v>po</v>
      </c>
      <c r="S4" s="1" t="str">
        <f>TEXT(WEEKDAY(DATE(KalendářníRok,2,17),1),"aaa")</f>
        <v>út</v>
      </c>
      <c r="T4" s="1" t="str">
        <f>TEXT(WEEKDAY(DATE(KalendářníRok,2,18),1),"aaa")</f>
        <v>st</v>
      </c>
      <c r="U4" s="1" t="str">
        <f>TEXT(WEEKDAY(DATE(KalendářníRok,2,19),1),"aaa")</f>
        <v>čt</v>
      </c>
      <c r="V4" s="1" t="str">
        <f>TEXT(WEEKDAY(DATE(KalendářníRok,2,20),1),"aaa")</f>
        <v>pá</v>
      </c>
      <c r="W4" s="1" t="str">
        <f>TEXT(WEEKDAY(DATE(KalendářníRok,2,21),1),"aaa")</f>
        <v>so</v>
      </c>
      <c r="X4" s="1" t="str">
        <f>TEXT(WEEKDAY(DATE(KalendářníRok,2,22),1),"aaa")</f>
        <v>ne</v>
      </c>
      <c r="Y4" s="1" t="str">
        <f>TEXT(WEEKDAY(DATE(KalendářníRok,2,23),1),"aaa")</f>
        <v>po</v>
      </c>
      <c r="Z4" s="1" t="str">
        <f>TEXT(WEEKDAY(DATE(KalendářníRok,2,24),1),"aaa")</f>
        <v>út</v>
      </c>
      <c r="AA4" s="1" t="str">
        <f>TEXT(WEEKDAY(DATE(KalendářníRok,2,25),1),"aaa")</f>
        <v>st</v>
      </c>
      <c r="AB4" s="1" t="str">
        <f>TEXT(WEEKDAY(DATE(KalendářníRok,2,26),1),"aaa")</f>
        <v>čt</v>
      </c>
      <c r="AC4" s="1" t="str">
        <f>TEXT(WEEKDAY(DATE(KalendářníRok,2,27),1),"aaa")</f>
        <v>pá</v>
      </c>
      <c r="AD4" s="1" t="str">
        <f>TEXT(WEEKDAY(DATE(KalendářníRok,2,28),1),"aaa")</f>
        <v>so</v>
      </c>
      <c r="AE4" s="1" t="str">
        <f>TEXT(WEEKDAY(DATE(KalendářníRok,2,29),1),"aaa")</f>
        <v>ne</v>
      </c>
      <c r="AF4" s="1"/>
      <c r="AG4" s="1"/>
      <c r="AH4" s="3"/>
      <c r="AI4" s="3"/>
      <c r="AJ4" s="3"/>
      <c r="AK4" s="3"/>
    </row>
    <row r="5" spans="2:37" ht="15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33</v>
      </c>
      <c r="AG5" s="1" t="s">
        <v>34</v>
      </c>
      <c r="AH5" s="7" t="s">
        <v>53</v>
      </c>
      <c r="AI5" s="18"/>
      <c r="AJ5" s="18" t="s">
        <v>52</v>
      </c>
      <c r="AK5" s="18"/>
    </row>
    <row r="6" spans="2:37" ht="30" customHeight="1" x14ac:dyDescent="0.25">
      <c r="B6" t="s">
        <v>50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51</v>
      </c>
      <c r="AI6" s="19"/>
      <c r="AJ6" s="57" t="s">
        <v>55</v>
      </c>
      <c r="AK6" s="57"/>
    </row>
    <row r="7" spans="2:37" ht="30" customHeight="1" x14ac:dyDescent="0.25">
      <c r="B7" t="s">
        <v>47</v>
      </c>
      <c r="C7" s="1"/>
      <c r="D7" s="1"/>
      <c r="E7" s="1"/>
      <c r="F7" s="1"/>
      <c r="G7" s="1"/>
      <c r="H7" s="1"/>
      <c r="I7" s="1"/>
      <c r="J7" s="1"/>
      <c r="K7" s="1"/>
      <c r="L7" s="1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1"/>
      <c r="AB7" s="1"/>
      <c r="AC7" s="1"/>
      <c r="AD7" s="1"/>
      <c r="AE7" s="1"/>
      <c r="AF7" s="1"/>
      <c r="AG7" s="1"/>
      <c r="AH7" s="2" t="s">
        <v>56</v>
      </c>
      <c r="AI7" s="19"/>
      <c r="AJ7" s="58" t="s">
        <v>59</v>
      </c>
      <c r="AK7" s="58"/>
    </row>
    <row r="8" spans="2:37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  <c r="AI8" s="19"/>
      <c r="AJ8" s="13"/>
      <c r="AK8" s="19"/>
    </row>
    <row r="9" spans="2:37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/>
      <c r="AI9" s="19"/>
      <c r="AJ9" s="13"/>
      <c r="AK9" s="19"/>
    </row>
    <row r="10" spans="2:37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19"/>
      <c r="AJ10" s="13"/>
      <c r="AK10" s="19"/>
    </row>
    <row r="11" spans="2:37" ht="30" customHeight="1" thickBot="1" x14ac:dyDescent="0.3">
      <c r="B11" s="10"/>
      <c r="C11" s="4">
        <f>SUBTOTAL(103,Únor[1])</f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15"/>
      <c r="AJ11" s="15"/>
      <c r="AK11" s="15"/>
    </row>
  </sheetData>
  <mergeCells count="3">
    <mergeCell ref="AJ6:AK6"/>
    <mergeCell ref="AJ7:AK7"/>
    <mergeCell ref="C3:AG3"/>
  </mergeCells>
  <conditionalFormatting sqref="C6:AG10">
    <cfRule type="expression" priority="9" stopIfTrue="1">
      <formula>C6=""</formula>
    </cfRule>
    <cfRule type="expression" dxfId="99" priority="10" stopIfTrue="1">
      <formula>C6=VlastníKlíč2</formula>
    </cfRule>
    <cfRule type="expression" dxfId="98" priority="12" stopIfTrue="1">
      <formula>C6=VlastníKlíč1</formula>
    </cfRule>
    <cfRule type="expression" dxfId="97" priority="13" stopIfTrue="1">
      <formula>C6=KlíčZdravotníNeschopnost</formula>
    </cfRule>
    <cfRule type="expression" dxfId="96" priority="14" stopIfTrue="1">
      <formula>C6=KlíčOsobní</formula>
    </cfRule>
    <cfRule type="expression" dxfId="95" priority="15" stopIfTrue="1">
      <formula>C6=KlíčDovolená</formula>
    </cfRule>
  </conditionalFormatting>
  <conditionalFormatting sqref="AE4">
    <cfRule type="expression" dxfId="94" priority="22">
      <formula>MONTH(DATE(KalendářníRok,2,29))&lt;&gt;2</formula>
    </cfRule>
  </conditionalFormatting>
  <conditionalFormatting sqref="AE5">
    <cfRule type="expression" dxfId="93" priority="23">
      <formula>MONTH(DATE(KalendářníRok,2,29))&lt;&gt;2</formula>
    </cfRule>
  </conditionalFormatting>
  <conditionalFormatting sqref="AH6:AH10">
    <cfRule type="dataBar" priority="7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{072345C6-1FFD-4A2F-A7CC-0E6FD8E3ADC5}</x14:id>
        </ext>
      </extLst>
    </cfRule>
  </conditionalFormatting>
  <conditionalFormatting sqref="AI6:AI10">
    <cfRule type="dataBar" priority="6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{96C62A2F-79A5-4E9E-A7E7-6A2D5B830934}</x14:id>
        </ext>
      </extLst>
    </cfRule>
  </conditionalFormatting>
  <conditionalFormatting sqref="AJ6">
    <cfRule type="dataBar" priority="1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{5D9C534D-E2F9-4739-B779-06C8688A8504}</x14:id>
        </ext>
      </extLst>
    </cfRule>
  </conditionalFormatting>
  <conditionalFormatting sqref="AK8:AK10">
    <cfRule type="dataBar" priority="2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{500FFD9C-F75A-4DB4-BB97-6B0C8C82D830}</x14:id>
        </ext>
      </extLst>
    </cfRule>
  </conditionalFormatting>
  <dataValidations xWindow="232" yWindow="365" count="8">
    <dataValidation allowBlank="1" showInputMessage="1" showErrorMessage="1" prompt="V tomto listu se sleduje nepřítomnost v únoru." sqref="A1" xr:uid="{00000000-0002-0000-0100-000001000000}"/>
    <dataValidation allowBlank="1" showInputMessage="1" showErrorMessage="1" prompt="V této buňce je automaticky aktualizovaný název. Pokud chcete upravit název, aktualizujte buňku B1 na listu Leden." sqref="B1" xr:uid="{00000000-0002-0000-0100-000003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100-000004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100-000005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100-00000C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100-00000D000000}"/>
    <dataValidation allowBlank="1" showInputMessage="1" showErrorMessage="1" prompt="Automaticky vypočítá celkový počet dní nepřítomnosti zaměstnance v tomto měsíci." sqref="AH5:AK5" xr:uid="{2CD6AA1A-D1F6-48FA-945A-AA531FF4B7A3}"/>
    <dataValidation allowBlank="1" showInputMessage="1" showErrorMessage="1" prompt="Do této buňky zadejte rok." sqref="AH3" xr:uid="{C823914D-7AAB-4A0A-9893-2E43FF116043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2345C6-1FFD-4A2F-A7CC-0E6FD8E3ADC5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96C62A2F-79A5-4E9E-A7E7-6A2D5B830934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AI6:AI10</xm:sqref>
        </x14:conditionalFormatting>
        <x14:conditionalFormatting xmlns:xm="http://schemas.microsoft.com/office/excel/2006/main">
          <x14:cfRule type="dataBar" id="{5D9C534D-E2F9-4739-B779-06C8688A8504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AJ6</xm:sqref>
        </x14:conditionalFormatting>
        <x14:conditionalFormatting xmlns:xm="http://schemas.microsoft.com/office/excel/2006/main">
          <x14:cfRule type="dataBar" id="{500FFD9C-F75A-4DB4-BB97-6B0C8C82D830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AK8:AK10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  <pageSetUpPr fitToPage="1"/>
  </sheetPr>
  <dimension ref="B1:AI12"/>
  <sheetViews>
    <sheetView showGridLines="0" zoomScaleNormal="100" workbookViewId="0">
      <selection activeCell="AH19" sqref="AH19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31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35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23">
        <f>KalendářníRok</f>
        <v>2026</v>
      </c>
      <c r="AI3" s="29"/>
    </row>
    <row r="4" spans="2:35" ht="15" customHeight="1" x14ac:dyDescent="0.25">
      <c r="B4" s="3"/>
      <c r="C4" s="1" t="str">
        <f>TEXT(WEEKDAY(DATE(KalendářníRok,3,1),1),"aaa")</f>
        <v>ne</v>
      </c>
      <c r="D4" s="1" t="str">
        <f>TEXT(WEEKDAY(DATE(KalendářníRok,3,2),1),"aaa")</f>
        <v>po</v>
      </c>
      <c r="E4" s="1" t="str">
        <f>TEXT(WEEKDAY(DATE(KalendářníRok,3,3),1),"aaa")</f>
        <v>út</v>
      </c>
      <c r="F4" s="1" t="str">
        <f>TEXT(WEEKDAY(DATE(KalendářníRok,3,4),1),"aaa")</f>
        <v>st</v>
      </c>
      <c r="G4" s="1" t="str">
        <f>TEXT(WEEKDAY(DATE(KalendářníRok,3,5),1),"aaa")</f>
        <v>čt</v>
      </c>
      <c r="H4" s="1" t="str">
        <f>TEXT(WEEKDAY(DATE(KalendářníRok,3,6),1),"aaa")</f>
        <v>pá</v>
      </c>
      <c r="I4" s="1" t="str">
        <f>TEXT(WEEKDAY(DATE(KalendářníRok,3,7),1),"aaa")</f>
        <v>so</v>
      </c>
      <c r="J4" s="1" t="str">
        <f>TEXT(WEEKDAY(DATE(KalendářníRok,3,8),1),"aaa")</f>
        <v>ne</v>
      </c>
      <c r="K4" s="1" t="str">
        <f>TEXT(WEEKDAY(DATE(KalendářníRok,3,9),1),"aaa")</f>
        <v>po</v>
      </c>
      <c r="L4" s="1" t="str">
        <f>TEXT(WEEKDAY(DATE(KalendářníRok,3,10),1),"aaa")</f>
        <v>út</v>
      </c>
      <c r="M4" s="1" t="str">
        <f>TEXT(WEEKDAY(DATE(KalendářníRok,3,11),1),"aaa")</f>
        <v>st</v>
      </c>
      <c r="N4" s="1" t="str">
        <f>TEXT(WEEKDAY(DATE(KalendářníRok,3,12),1),"aaa")</f>
        <v>čt</v>
      </c>
      <c r="O4" s="1" t="str">
        <f>TEXT(WEEKDAY(DATE(KalendářníRok,3,13),1),"aaa")</f>
        <v>pá</v>
      </c>
      <c r="P4" s="1" t="str">
        <f>TEXT(WEEKDAY(DATE(KalendářníRok,3,14),1),"aaa")</f>
        <v>so</v>
      </c>
      <c r="Q4" s="1" t="str">
        <f>TEXT(WEEKDAY(DATE(KalendářníRok,3,15),1),"aaa")</f>
        <v>ne</v>
      </c>
      <c r="R4" s="1" t="str">
        <f>TEXT(WEEKDAY(DATE(KalendářníRok,3,16),1),"aaa")</f>
        <v>po</v>
      </c>
      <c r="S4" s="1" t="str">
        <f>TEXT(WEEKDAY(DATE(KalendářníRok,3,17),1),"aaa")</f>
        <v>út</v>
      </c>
      <c r="T4" s="1" t="str">
        <f>TEXT(WEEKDAY(DATE(KalendářníRok,3,18),1),"aaa")</f>
        <v>st</v>
      </c>
      <c r="U4" s="1" t="str">
        <f>TEXT(WEEKDAY(DATE(KalendářníRok,3,19),1),"aaa")</f>
        <v>čt</v>
      </c>
      <c r="V4" s="1" t="str">
        <f>TEXT(WEEKDAY(DATE(KalendářníRok,3,20),1),"aaa")</f>
        <v>pá</v>
      </c>
      <c r="W4" s="1" t="str">
        <f>TEXT(WEEKDAY(DATE(KalendářníRok,3,21),1),"aaa")</f>
        <v>so</v>
      </c>
      <c r="X4" s="1" t="str">
        <f>TEXT(WEEKDAY(DATE(KalendářníRok,3,22),1),"aaa")</f>
        <v>ne</v>
      </c>
      <c r="Y4" s="1" t="str">
        <f>TEXT(WEEKDAY(DATE(KalendářníRok,3,23),1),"aaa")</f>
        <v>po</v>
      </c>
      <c r="Z4" s="1" t="str">
        <f>TEXT(WEEKDAY(DATE(KalendářníRok,3,24),1),"aaa")</f>
        <v>út</v>
      </c>
      <c r="AA4" s="1" t="str">
        <f>TEXT(WEEKDAY(DATE(KalendářníRok,3,25),1),"aaa")</f>
        <v>st</v>
      </c>
      <c r="AB4" s="1" t="str">
        <f>TEXT(WEEKDAY(DATE(KalendářníRok,3,26),1),"aaa")</f>
        <v>čt</v>
      </c>
      <c r="AC4" s="1" t="str">
        <f>TEXT(WEEKDAY(DATE(KalendářníRok,3,27),1),"aaa")</f>
        <v>pá</v>
      </c>
      <c r="AD4" s="1" t="str">
        <f>TEXT(WEEKDAY(DATE(KalendářníRok,3,28),1),"aaa")</f>
        <v>so</v>
      </c>
      <c r="AE4" s="1" t="str">
        <f>TEXT(WEEKDAY(DATE(KalendářníRok,3,29),1),"aaa")</f>
        <v>ne</v>
      </c>
      <c r="AF4" s="1" t="str">
        <f>TEXT(WEEKDAY(DATE(KalendářníRok,3,30),1),"aaa")</f>
        <v>po</v>
      </c>
      <c r="AG4" s="1" t="str">
        <f>TEXT(WEEKDAY(DATE(KalendářníRok,3,31),1),"aaa")</f>
        <v>út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22" t="s">
        <v>52</v>
      </c>
    </row>
    <row r="6" spans="2:35" ht="30" customHeight="1" x14ac:dyDescent="0.25">
      <c r="B6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" t="s">
        <v>63</v>
      </c>
      <c r="AI6" s="24" t="s">
        <v>60</v>
      </c>
    </row>
    <row r="7" spans="2:35" ht="30" customHeight="1" x14ac:dyDescent="0.25">
      <c r="B7" t="s">
        <v>61</v>
      </c>
      <c r="C7" s="1"/>
      <c r="D7" s="1"/>
      <c r="E7" s="1"/>
      <c r="F7" s="1"/>
      <c r="G7" s="1"/>
      <c r="H7" s="1"/>
      <c r="I7" s="1"/>
      <c r="J7" s="1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" t="s">
        <v>62</v>
      </c>
      <c r="AI7" s="24" t="s">
        <v>64</v>
      </c>
    </row>
    <row r="8" spans="2:35" ht="30" customHeight="1" x14ac:dyDescent="0.25">
      <c r="B8" t="s">
        <v>65</v>
      </c>
      <c r="C8" s="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" t="s">
        <v>66</v>
      </c>
      <c r="AI8" s="24" t="s">
        <v>67</v>
      </c>
    </row>
    <row r="9" spans="2:35" ht="30" customHeight="1" x14ac:dyDescent="0.25">
      <c r="B9" t="s">
        <v>68</v>
      </c>
      <c r="C9" s="1"/>
      <c r="D9" s="1"/>
      <c r="E9" s="1"/>
      <c r="F9" s="1"/>
      <c r="G9" s="1"/>
      <c r="H9" s="1"/>
      <c r="I9" s="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" t="s">
        <v>69</v>
      </c>
      <c r="AI9" s="24" t="s">
        <v>70</v>
      </c>
    </row>
    <row r="10" spans="2:35" ht="30" customHeight="1" x14ac:dyDescent="0.25">
      <c r="B10" t="s"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1"/>
      <c r="AB10" s="1"/>
      <c r="AC10" s="1"/>
      <c r="AD10" s="1"/>
      <c r="AE10" s="1"/>
      <c r="AF10" s="1"/>
      <c r="AG10" s="1"/>
      <c r="AH10" s="2" t="s">
        <v>74</v>
      </c>
      <c r="AI10" s="19" t="s">
        <v>59</v>
      </c>
    </row>
    <row r="11" spans="2:35" ht="30" customHeight="1" x14ac:dyDescent="0.25">
      <c r="B11" s="34" t="s">
        <v>47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5"/>
      <c r="AB11" s="35"/>
      <c r="AC11" s="35"/>
      <c r="AD11" s="35"/>
      <c r="AE11" s="35"/>
      <c r="AF11" s="35"/>
      <c r="AG11" s="35"/>
      <c r="AH11" s="2" t="s">
        <v>75</v>
      </c>
      <c r="AI11" s="33" t="s">
        <v>76</v>
      </c>
    </row>
    <row r="12" spans="2:35" ht="30" customHeight="1" thickBot="1" x14ac:dyDescent="0.3">
      <c r="B12" s="10"/>
      <c r="C12" s="4">
        <f>SUBTOTAL(103,Březen[1])</f>
        <v>0</v>
      </c>
      <c r="D12" s="4">
        <f>SUBTOTAL(103,Březen[2])</f>
        <v>0</v>
      </c>
      <c r="E12" s="4">
        <f>SUBTOTAL(103,Březen[3])</f>
        <v>0</v>
      </c>
      <c r="F12" s="4">
        <f>SUBTOTAL(103,Březen[4])</f>
        <v>0</v>
      </c>
      <c r="G12" s="4">
        <f>SUBTOTAL(103,Březen[5])</f>
        <v>0</v>
      </c>
      <c r="H12" s="4">
        <f>SUBTOTAL(103,Březen[6])</f>
        <v>0</v>
      </c>
      <c r="I12" s="4">
        <f>SUBTOTAL(103,Březen[7])</f>
        <v>0</v>
      </c>
      <c r="J12" s="4">
        <f>SUBTOTAL(103,Březen[8])</f>
        <v>0</v>
      </c>
      <c r="K12" s="4">
        <f>SUBTOTAL(103,Březen[9])</f>
        <v>0</v>
      </c>
      <c r="L12" s="4">
        <f>SUBTOTAL(103,Březen[10])</f>
        <v>0</v>
      </c>
      <c r="M12" s="4">
        <f>SUBTOTAL(103,Březen[11])</f>
        <v>0</v>
      </c>
      <c r="N12" s="4">
        <f>SUBTOTAL(103,Březen[12])</f>
        <v>0</v>
      </c>
      <c r="O12" s="4">
        <f>SUBTOTAL(103,Březen[13])</f>
        <v>0</v>
      </c>
      <c r="P12" s="4">
        <f>SUBTOTAL(103,Březen[14])</f>
        <v>0</v>
      </c>
      <c r="Q12" s="4">
        <f>SUBTOTAL(103,Březen[15])</f>
        <v>0</v>
      </c>
      <c r="R12" s="4">
        <f>SUBTOTAL(103,Březen[16])</f>
        <v>0</v>
      </c>
      <c r="S12" s="4">
        <f>SUBTOTAL(103,Březen[17])</f>
        <v>0</v>
      </c>
      <c r="T12" s="4">
        <f>SUBTOTAL(103,Březen[18])</f>
        <v>0</v>
      </c>
      <c r="U12" s="4">
        <f>SUBTOTAL(103,Březen[19])</f>
        <v>0</v>
      </c>
      <c r="V12" s="4">
        <f>SUBTOTAL(103,Březen[20])</f>
        <v>0</v>
      </c>
      <c r="W12" s="4">
        <f>SUBTOTAL(103,Březen[21])</f>
        <v>0</v>
      </c>
      <c r="X12" s="4">
        <f>SUBTOTAL(103,Březen[22])</f>
        <v>0</v>
      </c>
      <c r="Y12" s="4">
        <f>SUBTOTAL(103,Březen[23])</f>
        <v>0</v>
      </c>
      <c r="Z12" s="4">
        <f>SUBTOTAL(103,Březen[24])</f>
        <v>0</v>
      </c>
      <c r="AA12" s="4">
        <f>SUBTOTAL(103,Březen[25])</f>
        <v>0</v>
      </c>
      <c r="AB12" s="4">
        <f>SUBTOTAL(103,Březen[26])</f>
        <v>0</v>
      </c>
      <c r="AC12" s="4">
        <f>SUBTOTAL(103,Březen[27])</f>
        <v>0</v>
      </c>
      <c r="AD12" s="4">
        <f>SUBTOTAL(103,Březen[28])</f>
        <v>0</v>
      </c>
      <c r="AE12" s="4">
        <f>SUBTOTAL(103,Březen[29])</f>
        <v>0</v>
      </c>
      <c r="AF12" s="4">
        <f>SUBTOTAL(103,Březen[30])</f>
        <v>0</v>
      </c>
      <c r="AG12" s="4">
        <f>SUBTOTAL(103,Březen[31])</f>
        <v>0</v>
      </c>
      <c r="AH12" s="4">
        <f>SUBTOTAL(109,Březen[[Datum ]])</f>
        <v>0</v>
      </c>
      <c r="AI12" s="15">
        <f>SUBTOTAL(109,Březen[[Datum ]])</f>
        <v>0</v>
      </c>
    </row>
  </sheetData>
  <mergeCells count="1">
    <mergeCell ref="C3:AG3"/>
  </mergeCells>
  <conditionalFormatting sqref="C6:AG11">
    <cfRule type="expression" priority="3" stopIfTrue="1">
      <formula>C6=""</formula>
    </cfRule>
    <cfRule type="expression" dxfId="92" priority="4" stopIfTrue="1">
      <formula>C6=VlastníKlíč2</formula>
    </cfRule>
    <cfRule type="expression" dxfId="91" priority="5" stopIfTrue="1">
      <formula>C6=VlastníKlíč1</formula>
    </cfRule>
    <cfRule type="expression" dxfId="90" priority="6" stopIfTrue="1">
      <formula>C6=KlíčZdravotníNeschopnost</formula>
    </cfRule>
    <cfRule type="expression" dxfId="89" priority="7" stopIfTrue="1">
      <formula>C6=KlíčOsobní</formula>
    </cfRule>
    <cfRule type="expression" dxfId="88" priority="8" stopIfTrue="1">
      <formula>C6=KlíčDovolená</formula>
    </cfRule>
  </conditionalFormatting>
  <conditionalFormatting sqref="AH6:AH11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conditionalFormatting sqref="AI6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{3FE45A2D-88E0-4775-98E8-5589CD6BCC73}</x14:id>
        </ext>
      </extLst>
    </cfRule>
  </conditionalFormatting>
  <conditionalFormatting sqref="AI7:AI11">
    <cfRule type="dataBar" priority="2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{F1DB8EA0-9AA1-41DD-A655-9A8E860B958B}</x14:id>
        </ext>
      </extLst>
    </cfRule>
  </conditionalFormatting>
  <dataValidations count="8"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200-000000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200-000001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200-000002000000}"/>
    <dataValidation allowBlank="1" showInputMessage="1" showErrorMessage="1" prompt="V této buňce je automaticky aktualizovaný název. Pokud chcete upravit název, aktualizujte buňku B1 na listu Leden." sqref="B1" xr:uid="{00000000-0002-0000-0200-000009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 AI5" xr:uid="{00000000-0002-0000-0200-00000A000000}"/>
    <dataValidation allowBlank="1" showInputMessage="1" showErrorMessage="1" prompt="V tomto listu se sleduje nepřítomnost v březnu." sqref="A1" xr:uid="{00000000-0002-0000-0200-00000B000000}"/>
    <dataValidation allowBlank="1" showInputMessage="1" showErrorMessage="1" prompt="Automaticky aktualizovaný rok na základě roku zadaného v listu Leden." sqref="AH3" xr:uid="{00000000-0002-0000-0200-00000D000000}"/>
    <dataValidation allowBlank="1" showInputMessage="1" showErrorMessage="1" prompt="Automaticky vypočítá celkový počet dní nepřítomnosti zaměstnance v tomto měsíci." sqref="AH5" xr:uid="{D1E523FF-E045-479A-94E5-63931E02515D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AH6:AH11</xm:sqref>
        </x14:conditionalFormatting>
        <x14:conditionalFormatting xmlns:xm="http://schemas.microsoft.com/office/excel/2006/main">
          <x14:cfRule type="dataBar" id="{3FE45A2D-88E0-4775-98E8-5589CD6BCC73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</xm:sqref>
        </x14:conditionalFormatting>
        <x14:conditionalFormatting xmlns:xm="http://schemas.microsoft.com/office/excel/2006/main">
          <x14:cfRule type="dataBar" id="{F1DB8EA0-9AA1-41DD-A655-9A8E860B958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AI7:AI11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B1:AI14"/>
  <sheetViews>
    <sheetView showGridLines="0" zoomScaleNormal="100" workbookViewId="0">
      <selection activeCell="AF20" sqref="AF20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31.8554687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36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TEXT(WEEKDAY(DATE(KalendářníRok,4,1),1),"aaa")</f>
        <v>st</v>
      </c>
      <c r="D4" s="1" t="str">
        <f>TEXT(WEEKDAY(DATE(KalendářníRok,4,2),1),"aaa")</f>
        <v>čt</v>
      </c>
      <c r="E4" s="1" t="str">
        <f>TEXT(WEEKDAY(DATE(KalendářníRok,4,3),1),"aaa")</f>
        <v>pá</v>
      </c>
      <c r="F4" s="1" t="str">
        <f>TEXT(WEEKDAY(DATE(KalendářníRok,4,4),1),"aaa")</f>
        <v>so</v>
      </c>
      <c r="G4" s="1" t="str">
        <f>TEXT(WEEKDAY(DATE(KalendářníRok,4,5),1),"aaa")</f>
        <v>ne</v>
      </c>
      <c r="H4" s="1" t="str">
        <f>TEXT(WEEKDAY(DATE(KalendářníRok,4,6),1),"aaa")</f>
        <v>po</v>
      </c>
      <c r="I4" s="1" t="str">
        <f>TEXT(WEEKDAY(DATE(KalendářníRok,4,7),1),"aaa")</f>
        <v>út</v>
      </c>
      <c r="J4" s="1" t="str">
        <f>TEXT(WEEKDAY(DATE(KalendářníRok,4,8),1),"aaa")</f>
        <v>st</v>
      </c>
      <c r="K4" s="1" t="str">
        <f>TEXT(WEEKDAY(DATE(KalendářníRok,4,9),1),"aaa")</f>
        <v>čt</v>
      </c>
      <c r="L4" s="1" t="str">
        <f>TEXT(WEEKDAY(DATE(KalendářníRok,4,10),1),"aaa")</f>
        <v>pá</v>
      </c>
      <c r="M4" s="1" t="str">
        <f>TEXT(WEEKDAY(DATE(KalendářníRok,4,11),1),"aaa")</f>
        <v>so</v>
      </c>
      <c r="N4" s="1" t="str">
        <f>TEXT(WEEKDAY(DATE(KalendářníRok,4,12),1),"aaa")</f>
        <v>ne</v>
      </c>
      <c r="O4" s="1" t="str">
        <f>TEXT(WEEKDAY(DATE(KalendářníRok,4,13),1),"aaa")</f>
        <v>po</v>
      </c>
      <c r="P4" s="1" t="str">
        <f>TEXT(WEEKDAY(DATE(KalendářníRok,4,14),1),"aaa")</f>
        <v>út</v>
      </c>
      <c r="Q4" s="1" t="str">
        <f>TEXT(WEEKDAY(DATE(KalendářníRok,4,15),1),"aaa")</f>
        <v>st</v>
      </c>
      <c r="R4" s="1" t="str">
        <f>TEXT(WEEKDAY(DATE(KalendářníRok,4,16),1),"aaa")</f>
        <v>čt</v>
      </c>
      <c r="S4" s="1" t="str">
        <f>TEXT(WEEKDAY(DATE(KalendářníRok,4,17),1),"aaa")</f>
        <v>pá</v>
      </c>
      <c r="T4" s="1" t="str">
        <f>TEXT(WEEKDAY(DATE(KalendářníRok,4,18),1),"aaa")</f>
        <v>so</v>
      </c>
      <c r="U4" s="1" t="str">
        <f>TEXT(WEEKDAY(DATE(KalendářníRok,4,19),1),"aaa")</f>
        <v>ne</v>
      </c>
      <c r="V4" s="1" t="str">
        <f>TEXT(WEEKDAY(DATE(KalendářníRok,4,20),1),"aaa")</f>
        <v>po</v>
      </c>
      <c r="W4" s="1" t="str">
        <f>TEXT(WEEKDAY(DATE(KalendářníRok,4,21),1),"aaa")</f>
        <v>út</v>
      </c>
      <c r="X4" s="1" t="str">
        <f>TEXT(WEEKDAY(DATE(KalendářníRok,4,22),1),"aaa")</f>
        <v>st</v>
      </c>
      <c r="Y4" s="1" t="str">
        <f>TEXT(WEEKDAY(DATE(KalendářníRok,4,23),1),"aaa")</f>
        <v>čt</v>
      </c>
      <c r="Z4" s="1" t="str">
        <f>TEXT(WEEKDAY(DATE(KalendářníRok,4,24),1),"aaa")</f>
        <v>pá</v>
      </c>
      <c r="AA4" s="1" t="str">
        <f>TEXT(WEEKDAY(DATE(KalendářníRok,4,25),1),"aaa")</f>
        <v>so</v>
      </c>
      <c r="AB4" s="1" t="str">
        <f>TEXT(WEEKDAY(DATE(KalendářníRok,4,26),1),"aaa")</f>
        <v>ne</v>
      </c>
      <c r="AC4" s="1" t="str">
        <f>TEXT(WEEKDAY(DATE(KalendářníRok,4,27),1),"aaa")</f>
        <v>po</v>
      </c>
      <c r="AD4" s="1" t="str">
        <f>TEXT(WEEKDAY(DATE(KalendářníRok,4,28),1),"aaa")</f>
        <v>út</v>
      </c>
      <c r="AE4" s="1" t="str">
        <f>TEXT(WEEKDAY(DATE(KalendářníRok,4,29),1),"aaa")</f>
        <v>st</v>
      </c>
      <c r="AF4" s="1" t="str">
        <f>TEXT(WEEKDAY(DATE(KalendářníRok,4,30),1),"aaa")</f>
        <v>čt</v>
      </c>
      <c r="AG4" s="1"/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1" t="s">
        <v>33</v>
      </c>
      <c r="AH5" s="7" t="s">
        <v>53</v>
      </c>
      <c r="AI5" s="18" t="s">
        <v>52</v>
      </c>
    </row>
    <row r="6" spans="2:35" ht="30" customHeight="1" x14ac:dyDescent="0.25">
      <c r="B6" t="s">
        <v>57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58</v>
      </c>
      <c r="AI6" s="24" t="s">
        <v>60</v>
      </c>
    </row>
    <row r="7" spans="2:35" ht="30" customHeight="1" x14ac:dyDescent="0.25">
      <c r="B7" t="s">
        <v>61</v>
      </c>
      <c r="C7" s="27"/>
      <c r="D7" s="27"/>
      <c r="E7" s="27"/>
      <c r="F7" s="27"/>
      <c r="G7" s="27"/>
      <c r="H7" s="27"/>
      <c r="I7" s="27"/>
      <c r="J7" s="27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 t="s">
        <v>62</v>
      </c>
      <c r="AI7" s="24" t="s">
        <v>64</v>
      </c>
    </row>
    <row r="8" spans="2:35" ht="30" customHeight="1" x14ac:dyDescent="0.25">
      <c r="B8" t="s">
        <v>65</v>
      </c>
      <c r="C8" s="28"/>
      <c r="D8" s="28"/>
      <c r="E8" s="28"/>
      <c r="F8" s="28"/>
      <c r="G8" s="2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 t="s">
        <v>66</v>
      </c>
      <c r="AI8" s="24" t="s">
        <v>67</v>
      </c>
    </row>
    <row r="9" spans="2:35" ht="30" customHeight="1" x14ac:dyDescent="0.25">
      <c r="B9" t="s">
        <v>68</v>
      </c>
      <c r="C9" s="17"/>
      <c r="D9" s="17"/>
      <c r="E9" s="17"/>
      <c r="F9" s="17"/>
      <c r="G9" s="17"/>
      <c r="H9" s="17"/>
      <c r="I9" s="17"/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 t="s">
        <v>69</v>
      </c>
      <c r="AI9" s="24" t="s">
        <v>70</v>
      </c>
    </row>
    <row r="10" spans="2:35" ht="30" customHeight="1" x14ac:dyDescent="0.25">
      <c r="B10" t="s">
        <v>71</v>
      </c>
      <c r="C10" s="1"/>
      <c r="D10" s="1"/>
      <c r="E10" s="1"/>
      <c r="F10" s="1"/>
      <c r="G10" s="1"/>
      <c r="H10" s="1"/>
      <c r="I10" s="1"/>
      <c r="J10" s="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1"/>
      <c r="AH10" s="2" t="s">
        <v>72</v>
      </c>
      <c r="AI10" s="24" t="s">
        <v>73</v>
      </c>
    </row>
    <row r="11" spans="2:35" ht="30" customHeight="1" x14ac:dyDescent="0.25">
      <c r="B11" s="34" t="s">
        <v>47</v>
      </c>
      <c r="C11" s="35"/>
      <c r="D11" s="35"/>
      <c r="E11" s="35"/>
      <c r="F11" s="35"/>
      <c r="G11" s="35"/>
      <c r="H11" s="35"/>
      <c r="I11" s="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 t="s">
        <v>75</v>
      </c>
      <c r="AI11" s="33" t="s">
        <v>76</v>
      </c>
    </row>
    <row r="12" spans="2:35" ht="30" customHeight="1" x14ac:dyDescent="0.25">
      <c r="B12" s="34" t="s">
        <v>47</v>
      </c>
      <c r="C12" s="1"/>
      <c r="D12" s="1"/>
      <c r="E12" s="1"/>
      <c r="F12" s="1"/>
      <c r="G12" s="1"/>
      <c r="H12" s="1"/>
      <c r="I12" s="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" t="s">
        <v>77</v>
      </c>
      <c r="AI12" s="33" t="s">
        <v>59</v>
      </c>
    </row>
    <row r="13" spans="2:35" ht="30" customHeight="1" x14ac:dyDescent="0.25">
      <c r="B13" s="34" t="s">
        <v>80</v>
      </c>
      <c r="C13" s="1"/>
      <c r="D13" s="1"/>
      <c r="E13" s="1"/>
      <c r="F13" s="1"/>
      <c r="G13" s="1"/>
      <c r="H13" s="1"/>
      <c r="I13" s="1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1"/>
      <c r="AH13" s="2" t="s">
        <v>78</v>
      </c>
      <c r="AI13" s="40" t="s">
        <v>79</v>
      </c>
    </row>
    <row r="14" spans="2:35" ht="30" customHeight="1" thickBot="1" x14ac:dyDescent="0.3">
      <c r="B14" s="10"/>
      <c r="C14" s="4">
        <f>SUBTOTAL(103,Duben[1])</f>
        <v>0</v>
      </c>
      <c r="D14" s="4">
        <f>SUBTOTAL(103,Duben[2])</f>
        <v>0</v>
      </c>
      <c r="E14" s="4">
        <f>SUBTOTAL(103,Duben[3])</f>
        <v>0</v>
      </c>
      <c r="F14" s="4">
        <f>SUBTOTAL(103,Duben[4])</f>
        <v>0</v>
      </c>
      <c r="G14" s="4">
        <f>SUBTOTAL(103,Duben[5])</f>
        <v>0</v>
      </c>
      <c r="H14" s="4">
        <f>SUBTOTAL(103,Duben[6])</f>
        <v>0</v>
      </c>
      <c r="I14" s="4">
        <f>SUBTOTAL(103,Duben[7])</f>
        <v>0</v>
      </c>
      <c r="J14" s="4">
        <f>SUBTOTAL(103,Duben[8])</f>
        <v>0</v>
      </c>
      <c r="K14" s="4">
        <f>SUBTOTAL(103,Duben[9])</f>
        <v>0</v>
      </c>
      <c r="L14" s="4">
        <f>SUBTOTAL(103,Duben[10])</f>
        <v>0</v>
      </c>
      <c r="M14" s="4">
        <f>SUBTOTAL(103,Duben[11])</f>
        <v>0</v>
      </c>
      <c r="N14" s="4">
        <f>SUBTOTAL(103,Duben[12])</f>
        <v>0</v>
      </c>
      <c r="O14" s="4">
        <f>SUBTOTAL(103,Duben[13])</f>
        <v>0</v>
      </c>
      <c r="P14" s="4">
        <f>SUBTOTAL(103,Duben[14])</f>
        <v>0</v>
      </c>
      <c r="Q14" s="4">
        <f>SUBTOTAL(103,Duben[15])</f>
        <v>0</v>
      </c>
      <c r="R14" s="4">
        <f>SUBTOTAL(103,Duben[16])</f>
        <v>0</v>
      </c>
      <c r="S14" s="4">
        <f>SUBTOTAL(103,Duben[17])</f>
        <v>0</v>
      </c>
      <c r="T14" s="4">
        <f>SUBTOTAL(103,Duben[18])</f>
        <v>0</v>
      </c>
      <c r="U14" s="4">
        <f>SUBTOTAL(103,Duben[19])</f>
        <v>0</v>
      </c>
      <c r="V14" s="4">
        <f>SUBTOTAL(103,Duben[20])</f>
        <v>0</v>
      </c>
      <c r="W14" s="4">
        <f>SUBTOTAL(103,Duben[21])</f>
        <v>0</v>
      </c>
      <c r="X14" s="4">
        <f>SUBTOTAL(103,Duben[22])</f>
        <v>0</v>
      </c>
      <c r="Y14" s="4">
        <f>SUBTOTAL(103,Duben[23])</f>
        <v>0</v>
      </c>
      <c r="Z14" s="4">
        <f>SUBTOTAL(103,Duben[24])</f>
        <v>0</v>
      </c>
      <c r="AA14" s="4">
        <f>SUBTOTAL(103,Duben[25])</f>
        <v>0</v>
      </c>
      <c r="AB14" s="4">
        <f>SUBTOTAL(103,Duben[26])</f>
        <v>0</v>
      </c>
      <c r="AC14" s="4">
        <f>SUBTOTAL(103,Duben[27])</f>
        <v>0</v>
      </c>
      <c r="AD14" s="4">
        <f>SUBTOTAL(103,Duben[28])</f>
        <v>0</v>
      </c>
      <c r="AE14" s="4">
        <f>SUBTOTAL(103,Duben[29])</f>
        <v>0</v>
      </c>
      <c r="AF14" s="4">
        <f>SUBTOTAL(103,Duben[30])</f>
        <v>0</v>
      </c>
      <c r="AG14" s="4">
        <f>SUBTOTAL(103,Duben[30])</f>
        <v>0</v>
      </c>
      <c r="AH14" s="4">
        <f>SUBTOTAL(109,Duben[[Datum ]])</f>
        <v>0</v>
      </c>
      <c r="AI14" s="15">
        <f>SUBTOTAL(109,Duben[[Datum ]])</f>
        <v>0</v>
      </c>
    </row>
  </sheetData>
  <mergeCells count="1">
    <mergeCell ref="C3:AG3"/>
  </mergeCells>
  <conditionalFormatting sqref="C6:AG13">
    <cfRule type="expression" priority="13" stopIfTrue="1">
      <formula>C6=""</formula>
    </cfRule>
    <cfRule type="expression" dxfId="87" priority="14" stopIfTrue="1">
      <formula>C6=VlastníKlíč2</formula>
    </cfRule>
    <cfRule type="expression" dxfId="86" priority="15" stopIfTrue="1">
      <formula>C6=VlastníKlíč1</formula>
    </cfRule>
    <cfRule type="expression" dxfId="85" priority="16" stopIfTrue="1">
      <formula>C6=KlíčZdravotníNeschopnost</formula>
    </cfRule>
    <cfRule type="expression" dxfId="84" priority="17" stopIfTrue="1">
      <formula>C6=KlíčOsobní</formula>
    </cfRule>
    <cfRule type="expression" dxfId="83" priority="18" stopIfTrue="1">
      <formula>C6=KlíčDovolená</formula>
    </cfRule>
  </conditionalFormatting>
  <conditionalFormatting sqref="AH6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{3CE758D5-E8AA-4587-80DB-6BEC451B5BDE}</x14:id>
        </ext>
      </extLst>
    </cfRule>
  </conditionalFormatting>
  <conditionalFormatting sqref="AH7">
    <cfRule type="dataBar" priority="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{F7D27A4C-914C-4516-9206-BC24E8FA3D95}</x14:id>
        </ext>
      </extLst>
    </cfRule>
  </conditionalFormatting>
  <conditionalFormatting sqref="AH8">
    <cfRule type="dataBar" priority="6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{51E820F9-7B0A-46F3-A65F-1F65F1DEDE56}</x14:id>
        </ext>
      </extLst>
    </cfRule>
  </conditionalFormatting>
  <conditionalFormatting sqref="AH9">
    <cfRule type="dataBar" priority="4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{2FAB08CA-EF4C-476A-8D33-E7D73898B2A7}</x14:id>
        </ext>
      </extLst>
    </cfRule>
  </conditionalFormatting>
  <conditionalFormatting sqref="AH10">
    <cfRule type="dataBar" priority="1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{0C86709F-D813-4066-A3F1-C30F11214F4B}</x14:id>
        </ext>
      </extLst>
    </cfRule>
  </conditionalFormatting>
  <conditionalFormatting sqref="AH11">
    <cfRule type="dataBar" priority="2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{0BCFE73F-1E0D-472C-9E7D-737D107ECB36}</x14:id>
        </ext>
      </extLst>
    </cfRule>
  </conditionalFormatting>
  <conditionalFormatting sqref="AI6 AI10">
    <cfRule type="dataBar" priority="1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{FF7DF60A-CEB5-4895-91ED-BAD9A0030658}</x14:id>
        </ext>
      </extLst>
    </cfRule>
  </conditionalFormatting>
  <conditionalFormatting sqref="AI7">
    <cfRule type="dataBar" priority="7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{6721EC0A-EF33-4B95-8312-201D066B0A3C}</x14:id>
        </ext>
      </extLst>
    </cfRule>
  </conditionalFormatting>
  <conditionalFormatting sqref="AI8">
    <cfRule type="dataBar" priority="5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{06099524-DC18-4EF5-B7BB-21D8D8235944}</x14:id>
        </ext>
      </extLst>
    </cfRule>
  </conditionalFormatting>
  <conditionalFormatting sqref="AI9">
    <cfRule type="dataBar" priority="3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{61D90C0E-4999-4DFB-A189-7094771455EF}</x14:id>
        </ext>
      </extLst>
    </cfRule>
  </conditionalFormatting>
  <conditionalFormatting sqref="AI11:AI13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{045E6269-5B09-4600-B2A0-AB405B5948DD}</x14:id>
        </ext>
      </extLst>
    </cfRule>
  </conditionalFormatting>
  <dataValidations count="8">
    <dataValidation allowBlank="1" showInputMessage="1" showErrorMessage="1" prompt="Automaticky aktualizovaný rok na základě roku zadaného v listu Leden." sqref="AH3" xr:uid="{00000000-0002-0000-0300-000000000000}"/>
    <dataValidation allowBlank="1" showInputMessage="1" showErrorMessage="1" prompt="V tomto listu se sleduje nepřítomnost v dubnu." sqref="A1" xr:uid="{00000000-0002-0000-0300-000002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300-000003000000}"/>
    <dataValidation allowBlank="1" showInputMessage="1" showErrorMessage="1" prompt="V této buňce je automaticky aktualizovaný název. Pokud chcete upravit název, aktualizujte buňku B1 na listu Leden." sqref="B1" xr:uid="{00000000-0002-0000-0300-000004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300-00000B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300-00000C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300-00000D000000}"/>
    <dataValidation allowBlank="1" showInputMessage="1" showErrorMessage="1" prompt="Automaticky vypočítá celkový počet dní nepřítomnosti zaměstnance v tomto měsíci." sqref="AH5:AI5" xr:uid="{ED1667BE-CA45-47AE-AFC2-55D5DD85988A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E758D5-E8AA-4587-80DB-6BEC451B5BDE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</xm:sqref>
        </x14:conditionalFormatting>
        <x14:conditionalFormatting xmlns:xm="http://schemas.microsoft.com/office/excel/2006/main">
          <x14:cfRule type="dataBar" id="{F7D27A4C-914C-4516-9206-BC24E8FA3D95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AH7</xm:sqref>
        </x14:conditionalFormatting>
        <x14:conditionalFormatting xmlns:xm="http://schemas.microsoft.com/office/excel/2006/main">
          <x14:cfRule type="dataBar" id="{51E820F9-7B0A-46F3-A65F-1F65F1DEDE56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AH8</xm:sqref>
        </x14:conditionalFormatting>
        <x14:conditionalFormatting xmlns:xm="http://schemas.microsoft.com/office/excel/2006/main">
          <x14:cfRule type="dataBar" id="{2FAB08CA-EF4C-476A-8D33-E7D73898B2A7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AH9</xm:sqref>
        </x14:conditionalFormatting>
        <x14:conditionalFormatting xmlns:xm="http://schemas.microsoft.com/office/excel/2006/main">
          <x14:cfRule type="dataBar" id="{0C86709F-D813-4066-A3F1-C30F11214F4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AH10</xm:sqref>
        </x14:conditionalFormatting>
        <x14:conditionalFormatting xmlns:xm="http://schemas.microsoft.com/office/excel/2006/main">
          <x14:cfRule type="dataBar" id="{0BCFE73F-1E0D-472C-9E7D-737D107ECB36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AH11</xm:sqref>
        </x14:conditionalFormatting>
        <x14:conditionalFormatting xmlns:xm="http://schemas.microsoft.com/office/excel/2006/main">
          <x14:cfRule type="dataBar" id="{FF7DF60A-CEB5-4895-91ED-BAD9A0030658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 AI10</xm:sqref>
        </x14:conditionalFormatting>
        <x14:conditionalFormatting xmlns:xm="http://schemas.microsoft.com/office/excel/2006/main">
          <x14:cfRule type="dataBar" id="{6721EC0A-EF33-4B95-8312-201D066B0A3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</xm:sqref>
        </x14:conditionalFormatting>
        <x14:conditionalFormatting xmlns:xm="http://schemas.microsoft.com/office/excel/2006/main">
          <x14:cfRule type="dataBar" id="{06099524-DC18-4EF5-B7BB-21D8D8235944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AI8</xm:sqref>
        </x14:conditionalFormatting>
        <x14:conditionalFormatting xmlns:xm="http://schemas.microsoft.com/office/excel/2006/main">
          <x14:cfRule type="dataBar" id="{61D90C0E-4999-4DFB-A189-7094771455EF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AI9</xm:sqref>
        </x14:conditionalFormatting>
        <x14:conditionalFormatting xmlns:xm="http://schemas.microsoft.com/office/excel/2006/main">
          <x14:cfRule type="dataBar" id="{045E6269-5B09-4600-B2A0-AB405B5948DD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AI11:AI13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AI12"/>
  <sheetViews>
    <sheetView showGridLines="0" zoomScaleNormal="100" workbookViewId="0">
      <selection activeCell="AI8" sqref="AI8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31.710937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37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TEXT(WEEKDAY(DATE(KalendářníRok,5,1),1),"aaa")</f>
        <v>pá</v>
      </c>
      <c r="D4" s="1" t="str">
        <f>TEXT(WEEKDAY(DATE(KalendářníRok,5,2),1),"aaa")</f>
        <v>so</v>
      </c>
      <c r="E4" s="1" t="str">
        <f>TEXT(WEEKDAY(DATE(KalendářníRok,5,3),1),"aaa")</f>
        <v>ne</v>
      </c>
      <c r="F4" s="1" t="str">
        <f>TEXT(WEEKDAY(DATE(KalendářníRok,5,4),1),"aaa")</f>
        <v>po</v>
      </c>
      <c r="G4" s="1" t="str">
        <f>TEXT(WEEKDAY(DATE(KalendářníRok,5,5),1),"aaa")</f>
        <v>út</v>
      </c>
      <c r="H4" s="1" t="str">
        <f>TEXT(WEEKDAY(DATE(KalendářníRok,5,6),1),"aaa")</f>
        <v>st</v>
      </c>
      <c r="I4" s="1" t="str">
        <f>TEXT(WEEKDAY(DATE(KalendářníRok,5,7),1),"aaa")</f>
        <v>čt</v>
      </c>
      <c r="J4" s="1" t="str">
        <f>TEXT(WEEKDAY(DATE(KalendářníRok,5,8),1),"aaa")</f>
        <v>pá</v>
      </c>
      <c r="K4" s="1" t="str">
        <f>TEXT(WEEKDAY(DATE(KalendářníRok,5,9),1),"aaa")</f>
        <v>so</v>
      </c>
      <c r="L4" s="1" t="str">
        <f>TEXT(WEEKDAY(DATE(KalendářníRok,5,10),1),"aaa")</f>
        <v>ne</v>
      </c>
      <c r="M4" s="1" t="str">
        <f>TEXT(WEEKDAY(DATE(KalendářníRok,5,11),1),"aaa")</f>
        <v>po</v>
      </c>
      <c r="N4" s="1" t="str">
        <f>TEXT(WEEKDAY(DATE(KalendářníRok,5,12),1),"aaa")</f>
        <v>út</v>
      </c>
      <c r="O4" s="1" t="str">
        <f>TEXT(WEEKDAY(DATE(KalendářníRok,5,13),1),"aaa")</f>
        <v>st</v>
      </c>
      <c r="P4" s="1" t="str">
        <f>TEXT(WEEKDAY(DATE(KalendářníRok,5,14),1),"aaa")</f>
        <v>čt</v>
      </c>
      <c r="Q4" s="1" t="str">
        <f>TEXT(WEEKDAY(DATE(KalendářníRok,5,15),1),"aaa")</f>
        <v>pá</v>
      </c>
      <c r="R4" s="1" t="str">
        <f>TEXT(WEEKDAY(DATE(KalendářníRok,5,16),1),"aaa")</f>
        <v>so</v>
      </c>
      <c r="S4" s="1" t="str">
        <f>TEXT(WEEKDAY(DATE(KalendářníRok,5,17),1),"aaa")</f>
        <v>ne</v>
      </c>
      <c r="T4" s="1" t="str">
        <f>TEXT(WEEKDAY(DATE(KalendářníRok,5,18),1),"aaa")</f>
        <v>po</v>
      </c>
      <c r="U4" s="1" t="str">
        <f>TEXT(WEEKDAY(DATE(KalendářníRok,5,19),1),"aaa")</f>
        <v>út</v>
      </c>
      <c r="V4" s="1" t="str">
        <f>TEXT(WEEKDAY(DATE(KalendářníRok,5,20),1),"aaa")</f>
        <v>st</v>
      </c>
      <c r="W4" s="1" t="str">
        <f>TEXT(WEEKDAY(DATE(KalendářníRok,5,21),1),"aaa")</f>
        <v>čt</v>
      </c>
      <c r="X4" s="1" t="str">
        <f>TEXT(WEEKDAY(DATE(KalendářníRok,5,22),1),"aaa")</f>
        <v>pá</v>
      </c>
      <c r="Y4" s="1" t="str">
        <f>TEXT(WEEKDAY(DATE(KalendářníRok,5,23),1),"aaa")</f>
        <v>so</v>
      </c>
      <c r="Z4" s="1" t="str">
        <f>TEXT(WEEKDAY(DATE(KalendářníRok,5,24),1),"aaa")</f>
        <v>ne</v>
      </c>
      <c r="AA4" s="1" t="str">
        <f>TEXT(WEEKDAY(DATE(KalendářníRok,5,25),1),"aaa")</f>
        <v>po</v>
      </c>
      <c r="AB4" s="1" t="str">
        <f>TEXT(WEEKDAY(DATE(KalendářníRok,5,26),1),"aaa")</f>
        <v>út</v>
      </c>
      <c r="AC4" s="1" t="str">
        <f>TEXT(WEEKDAY(DATE(KalendářníRok,5,27),1),"aaa")</f>
        <v>st</v>
      </c>
      <c r="AD4" s="1" t="str">
        <f>TEXT(WEEKDAY(DATE(KalendářníRok,5,28),1),"aaa")</f>
        <v>čt</v>
      </c>
      <c r="AE4" s="1" t="str">
        <f>TEXT(WEEKDAY(DATE(KalendářníRok,5,29),1),"aaa")</f>
        <v>pá</v>
      </c>
      <c r="AF4" s="1" t="str">
        <f>TEXT(WEEKDAY(DATE(KalendářníRok,5,30),1),"aaa")</f>
        <v>so</v>
      </c>
      <c r="AG4" s="1" t="str">
        <f>TEXT(WEEKDAY(DATE(KalendářníRok,5,31),1),"aaa")</f>
        <v>ne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22" t="s">
        <v>52</v>
      </c>
    </row>
    <row r="6" spans="2:35" ht="30" customHeight="1" x14ac:dyDescent="0.25">
      <c r="B6" t="s">
        <v>71</v>
      </c>
      <c r="C6" s="31"/>
      <c r="D6" s="31"/>
      <c r="E6" s="31"/>
      <c r="F6" s="31"/>
      <c r="G6" s="31"/>
      <c r="H6" s="31"/>
      <c r="I6" s="31"/>
      <c r="J6" s="31"/>
      <c r="K6" s="3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72</v>
      </c>
      <c r="AI6" s="24" t="s">
        <v>73</v>
      </c>
    </row>
    <row r="7" spans="2:35" ht="30" customHeight="1" x14ac:dyDescent="0.25">
      <c r="B7" s="34" t="s">
        <v>80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2" t="s">
        <v>78</v>
      </c>
      <c r="AI7" s="40" t="s">
        <v>79</v>
      </c>
    </row>
    <row r="8" spans="2:35" ht="30" customHeight="1" x14ac:dyDescent="0.25">
      <c r="B8" t="s">
        <v>81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2" t="s">
        <v>82</v>
      </c>
      <c r="AI8" s="24" t="s">
        <v>83</v>
      </c>
    </row>
    <row r="9" spans="2:35" ht="30" customHeight="1" x14ac:dyDescent="0.25">
      <c r="B9" t="s">
        <v>84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2" t="s">
        <v>92</v>
      </c>
      <c r="AI9" s="19" t="s">
        <v>54</v>
      </c>
    </row>
    <row r="10" spans="2:35" ht="30" customHeight="1" x14ac:dyDescent="0.25">
      <c r="B10" t="s">
        <v>91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2" t="s">
        <v>90</v>
      </c>
      <c r="AI10" s="24" t="s">
        <v>93</v>
      </c>
    </row>
    <row r="11" spans="2:35" ht="30" customHeight="1" x14ac:dyDescent="0.25">
      <c r="B11" s="4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>
        <f>COUNTA(Květen[[#This Row],[1]:[31]])</f>
        <v>0</v>
      </c>
      <c r="AI11" s="40"/>
    </row>
    <row r="12" spans="2:35" ht="30" customHeight="1" thickBot="1" x14ac:dyDescent="0.3">
      <c r="B12" s="10"/>
      <c r="C12" s="4">
        <f>SUBTOTAL(103,Květen[1])</f>
        <v>0</v>
      </c>
      <c r="D12" s="4">
        <f>SUBTOTAL(103,Květen[2])</f>
        <v>0</v>
      </c>
      <c r="E12" s="4">
        <f>SUBTOTAL(103,Květen[3])</f>
        <v>0</v>
      </c>
      <c r="F12" s="4">
        <f>SUBTOTAL(103,Květen[4])</f>
        <v>0</v>
      </c>
      <c r="G12" s="4">
        <f>SUBTOTAL(103,Květen[5])</f>
        <v>0</v>
      </c>
      <c r="H12" s="4">
        <f>SUBTOTAL(103,Květen[6])</f>
        <v>0</v>
      </c>
      <c r="I12" s="4">
        <f>SUBTOTAL(103,Květen[7])</f>
        <v>0</v>
      </c>
      <c r="J12" s="4">
        <f>SUBTOTAL(103,Květen[8])</f>
        <v>0</v>
      </c>
      <c r="K12" s="4">
        <f>SUBTOTAL(103,Květen[9])</f>
        <v>0</v>
      </c>
      <c r="L12" s="4">
        <f>SUBTOTAL(103,Květen[10])</f>
        <v>0</v>
      </c>
      <c r="M12" s="4">
        <f>SUBTOTAL(103,Květen[11])</f>
        <v>0</v>
      </c>
      <c r="N12" s="4">
        <f>SUBTOTAL(103,Květen[12])</f>
        <v>0</v>
      </c>
      <c r="O12" s="4">
        <f>SUBTOTAL(103,Květen[13])</f>
        <v>0</v>
      </c>
      <c r="P12" s="4">
        <f>SUBTOTAL(103,Květen[14])</f>
        <v>0</v>
      </c>
      <c r="Q12" s="4">
        <f>SUBTOTAL(103,Květen[15])</f>
        <v>0</v>
      </c>
      <c r="R12" s="4">
        <f>SUBTOTAL(103,Květen[16])</f>
        <v>0</v>
      </c>
      <c r="S12" s="4">
        <f>SUBTOTAL(103,Květen[17])</f>
        <v>0</v>
      </c>
      <c r="T12" s="4">
        <f>SUBTOTAL(103,Květen[18])</f>
        <v>0</v>
      </c>
      <c r="U12" s="4">
        <f>SUBTOTAL(103,Květen[19])</f>
        <v>0</v>
      </c>
      <c r="V12" s="4">
        <f>SUBTOTAL(103,Květen[20])</f>
        <v>0</v>
      </c>
      <c r="W12" s="4">
        <f>SUBTOTAL(103,Květen[21])</f>
        <v>0</v>
      </c>
      <c r="X12" s="4">
        <f>SUBTOTAL(103,Květen[22])</f>
        <v>0</v>
      </c>
      <c r="Y12" s="4">
        <f>SUBTOTAL(103,Květen[23])</f>
        <v>0</v>
      </c>
      <c r="Z12" s="4">
        <f>SUBTOTAL(103,Květen[24])</f>
        <v>0</v>
      </c>
      <c r="AA12" s="4">
        <f>SUBTOTAL(103,Květen[25])</f>
        <v>0</v>
      </c>
      <c r="AB12" s="4">
        <f>SUBTOTAL(103,Květen[26])</f>
        <v>0</v>
      </c>
      <c r="AC12" s="4">
        <f>SUBTOTAL(103,Květen[27])</f>
        <v>0</v>
      </c>
      <c r="AD12" s="4">
        <f>SUBTOTAL(103,Květen[28])</f>
        <v>0</v>
      </c>
      <c r="AE12" s="4">
        <f>SUBTOTAL(103,Květen[29])</f>
        <v>0</v>
      </c>
      <c r="AF12" s="4">
        <f>SUBTOTAL(103,Květen[30])</f>
        <v>0</v>
      </c>
      <c r="AG12" s="4">
        <f>SUBTOTAL(103,Květen[31])</f>
        <v>0</v>
      </c>
      <c r="AH12" s="4">
        <f>SUBTOTAL(109,Květen[[Datum ]])</f>
        <v>0</v>
      </c>
      <c r="AI12" s="15">
        <f>SUBTOTAL(109,Květen[[Datum ]])</f>
        <v>0</v>
      </c>
    </row>
  </sheetData>
  <mergeCells count="1">
    <mergeCell ref="C3:AG3"/>
  </mergeCells>
  <conditionalFormatting sqref="C6:AG11">
    <cfRule type="expression" priority="2" stopIfTrue="1">
      <formula>C6=""</formula>
    </cfRule>
    <cfRule type="expression" dxfId="82" priority="3" stopIfTrue="1">
      <formula>C6=VlastníKlíč2</formula>
    </cfRule>
    <cfRule type="expression" dxfId="81" priority="4" stopIfTrue="1">
      <formula>C6=VlastníKlíč1</formula>
    </cfRule>
    <cfRule type="expression" dxfId="80" priority="5" stopIfTrue="1">
      <formula>C6=KlíčZdravotníNeschopnost</formula>
    </cfRule>
    <cfRule type="expression" dxfId="79" priority="6" stopIfTrue="1">
      <formula>C6=KlíčOsobní</formula>
    </cfRule>
    <cfRule type="expression" dxfId="78" priority="7" stopIfTrue="1">
      <formula>C6=KlíčDovolená</formula>
    </cfRule>
  </conditionalFormatting>
  <conditionalFormatting sqref="AH6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{1DA380F3-E540-42E0-94C3-B8A188EF0FCB}</x14:id>
        </ext>
      </extLst>
    </cfRule>
  </conditionalFormatting>
  <conditionalFormatting sqref="AH8:AH10">
    <cfRule type="dataBar" priority="17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{5670947F-8B3C-4A6C-A280-4F5E10811DCE}</x14:id>
        </ext>
      </extLst>
    </cfRule>
  </conditionalFormatting>
  <conditionalFormatting sqref="AI6">
    <cfRule type="dataBar" priority="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{3A917D5E-11D5-49C4-96F3-D78FAABE2D86}</x14:id>
        </ext>
      </extLst>
    </cfRule>
  </conditionalFormatting>
  <conditionalFormatting sqref="AI7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{253332D7-375A-4073-A6B0-FE8CF5CEBBDF}</x14:id>
        </ext>
      </extLst>
    </cfRule>
  </conditionalFormatting>
  <conditionalFormatting sqref="AI8:AI11">
    <cfRule type="dataBar" priority="10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{1F3103D6-E684-40F7-94E8-200AA9882837}</x14:id>
        </ext>
      </extLst>
    </cfRule>
  </conditionalFormatting>
  <dataValidations count="8"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400-000000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400-000001000000}"/>
    <dataValidation allowBlank="1" showInputMessage="1" showErrorMessage="1" prompt="V této buňce je automaticky aktualizovaný název. Pokud chcete upravit název, aktualizujte buňku B1 na listu Leden." sqref="B1" xr:uid="{00000000-0002-0000-0400-000008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 AI5" xr:uid="{00000000-0002-0000-0400-000009000000}"/>
    <dataValidation allowBlank="1" showInputMessage="1" showErrorMessage="1" prompt="V tomto listu se sleduje nepřítomnost v květnu." sqref="A1" xr:uid="{00000000-0002-0000-0400-00000A000000}"/>
    <dataValidation allowBlank="1" showInputMessage="1" showErrorMessage="1" prompt="Automaticky aktualizovaný rok na základě roku zadaného v listu Leden." sqref="AH3" xr:uid="{00000000-0002-0000-0400-00000C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400-00000D000000}"/>
    <dataValidation allowBlank="1" showInputMessage="1" showErrorMessage="1" prompt="Automaticky vypočítá celkový počet dní nepřítomnosti zaměstnance v tomto měsíci." sqref="AH5" xr:uid="{A5978292-4709-4B34-B6C5-7A801CAEF02F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A380F3-E540-42E0-94C3-B8A188EF0FC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</xm:sqref>
        </x14:conditionalFormatting>
        <x14:conditionalFormatting xmlns:xm="http://schemas.microsoft.com/office/excel/2006/main">
          <x14:cfRule type="dataBar" id="{5670947F-8B3C-4A6C-A280-4F5E10811DCE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AH8:AH10</xm:sqref>
        </x14:conditionalFormatting>
        <x14:conditionalFormatting xmlns:xm="http://schemas.microsoft.com/office/excel/2006/main">
          <x14:cfRule type="dataBar" id="{3A917D5E-11D5-49C4-96F3-D78FAABE2D86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</xm:sqref>
        </x14:conditionalFormatting>
        <x14:conditionalFormatting xmlns:xm="http://schemas.microsoft.com/office/excel/2006/main">
          <x14:cfRule type="dataBar" id="{253332D7-375A-4073-A6B0-FE8CF5CEBBDF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</xm:sqref>
        </x14:conditionalFormatting>
        <x14:conditionalFormatting xmlns:xm="http://schemas.microsoft.com/office/excel/2006/main">
          <x14:cfRule type="dataBar" id="{1F3103D6-E684-40F7-94E8-200AA9882837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AI8:AI11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1:AI17"/>
  <sheetViews>
    <sheetView showGridLines="0" topLeftCell="A4" zoomScaleNormal="100" workbookViewId="0">
      <selection activeCell="AI8" sqref="AI8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31.14062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38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TEXT(WEEKDAY(DATE(KalendářníRok,6,1),1),"aaa")</f>
        <v>po</v>
      </c>
      <c r="D4" s="1" t="str">
        <f>TEXT(WEEKDAY(DATE(KalendářníRok,6,2),1),"aaa")</f>
        <v>út</v>
      </c>
      <c r="E4" s="1" t="str">
        <f>TEXT(WEEKDAY(DATE(KalendářníRok,6,3),1),"aaa")</f>
        <v>st</v>
      </c>
      <c r="F4" s="1" t="str">
        <f>TEXT(WEEKDAY(DATE(KalendářníRok,6,4),1),"aaa")</f>
        <v>čt</v>
      </c>
      <c r="G4" s="1" t="str">
        <f>TEXT(WEEKDAY(DATE(KalendářníRok,6,5),1),"aaa")</f>
        <v>pá</v>
      </c>
      <c r="H4" s="1" t="str">
        <f>TEXT(WEEKDAY(DATE(KalendářníRok,6,6),1),"aaa")</f>
        <v>so</v>
      </c>
      <c r="I4" s="1" t="str">
        <f>TEXT(WEEKDAY(DATE(KalendářníRok,6,7),1),"aaa")</f>
        <v>ne</v>
      </c>
      <c r="J4" s="1" t="str">
        <f>TEXT(WEEKDAY(DATE(KalendářníRok,6,8),1),"aaa")</f>
        <v>po</v>
      </c>
      <c r="K4" s="1" t="str">
        <f>TEXT(WEEKDAY(DATE(KalendářníRok,6,9),1),"aaa")</f>
        <v>út</v>
      </c>
      <c r="L4" s="1" t="str">
        <f>TEXT(WEEKDAY(DATE(KalendářníRok,6,10),1),"aaa")</f>
        <v>st</v>
      </c>
      <c r="M4" s="1" t="str">
        <f>TEXT(WEEKDAY(DATE(KalendářníRok,6,11),1),"aaa")</f>
        <v>čt</v>
      </c>
      <c r="N4" s="1" t="str">
        <f>TEXT(WEEKDAY(DATE(KalendářníRok,6,12),1),"aaa")</f>
        <v>pá</v>
      </c>
      <c r="O4" s="1" t="str">
        <f>TEXT(WEEKDAY(DATE(KalendářníRok,6,13),1),"aaa")</f>
        <v>so</v>
      </c>
      <c r="P4" s="1" t="str">
        <f>TEXT(WEEKDAY(DATE(KalendářníRok,6,14),1),"aaa")</f>
        <v>ne</v>
      </c>
      <c r="Q4" s="1" t="str">
        <f>TEXT(WEEKDAY(DATE(KalendářníRok,6,15),1),"aaa")</f>
        <v>po</v>
      </c>
      <c r="R4" s="1" t="str">
        <f>TEXT(WEEKDAY(DATE(KalendářníRok,6,16),1),"aaa")</f>
        <v>út</v>
      </c>
      <c r="S4" s="1" t="str">
        <f>TEXT(WEEKDAY(DATE(KalendářníRok,6,17),1),"aaa")</f>
        <v>st</v>
      </c>
      <c r="T4" s="1" t="str">
        <f>TEXT(WEEKDAY(DATE(KalendářníRok,6,18),1),"aaa")</f>
        <v>čt</v>
      </c>
      <c r="U4" s="1" t="str">
        <f>TEXT(WEEKDAY(DATE(KalendářníRok,6,19),1),"aaa")</f>
        <v>pá</v>
      </c>
      <c r="V4" s="1" t="str">
        <f>TEXT(WEEKDAY(DATE(KalendářníRok,6,20),1),"aaa")</f>
        <v>so</v>
      </c>
      <c r="W4" s="1" t="str">
        <f>TEXT(WEEKDAY(DATE(KalendářníRok,6,21),1),"aaa")</f>
        <v>ne</v>
      </c>
      <c r="X4" s="1" t="str">
        <f>TEXT(WEEKDAY(DATE(KalendářníRok,6,22),1),"aaa")</f>
        <v>po</v>
      </c>
      <c r="Y4" s="1" t="str">
        <f>TEXT(WEEKDAY(DATE(KalendářníRok,6,23),1),"aaa")</f>
        <v>út</v>
      </c>
      <c r="Z4" s="1" t="str">
        <f>TEXT(WEEKDAY(DATE(KalendářníRok,6,24),1),"aaa")</f>
        <v>st</v>
      </c>
      <c r="AA4" s="1" t="str">
        <f>TEXT(WEEKDAY(DATE(KalendářníRok,6,25),1),"aaa")</f>
        <v>čt</v>
      </c>
      <c r="AB4" s="1" t="str">
        <f>TEXT(WEEKDAY(DATE(KalendářníRok,6,26),1),"aaa")</f>
        <v>pá</v>
      </c>
      <c r="AC4" s="1" t="str">
        <f>TEXT(WEEKDAY(DATE(KalendářníRok,6,27),1),"aaa")</f>
        <v>so</v>
      </c>
      <c r="AD4" s="1" t="str">
        <f>TEXT(WEEKDAY(DATE(KalendářníRok,6,28),1),"aaa")</f>
        <v>ne</v>
      </c>
      <c r="AE4" s="1" t="str">
        <f>TEXT(WEEKDAY(DATE(KalendářníRok,6,29),1),"aaa")</f>
        <v>po</v>
      </c>
      <c r="AF4" s="1" t="str">
        <f>TEXT(WEEKDAY(DATE(KalendářníRok,6,30),1),"aaa")</f>
        <v>út</v>
      </c>
      <c r="AG4" s="1"/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33</v>
      </c>
      <c r="AH5" s="7" t="s">
        <v>53</v>
      </c>
      <c r="AI5" s="18" t="s">
        <v>52</v>
      </c>
    </row>
    <row r="6" spans="2:35" ht="30" customHeight="1" x14ac:dyDescent="0.25">
      <c r="B6" s="34" t="s">
        <v>80</v>
      </c>
      <c r="C6" s="39"/>
      <c r="D6" s="39"/>
      <c r="E6" s="3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78</v>
      </c>
      <c r="AI6" s="40" t="s">
        <v>79</v>
      </c>
    </row>
    <row r="7" spans="2:35" ht="30" customHeight="1" x14ac:dyDescent="0.25">
      <c r="B7" t="s">
        <v>84</v>
      </c>
      <c r="C7" s="42"/>
      <c r="D7" s="4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 t="s">
        <v>92</v>
      </c>
      <c r="AI7" s="19" t="s">
        <v>54</v>
      </c>
    </row>
    <row r="8" spans="2:35" ht="30" customHeight="1" x14ac:dyDescent="0.25">
      <c r="B8" t="s">
        <v>85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1"/>
      <c r="AH8" s="2" t="s">
        <v>86</v>
      </c>
      <c r="AI8" s="24" t="s">
        <v>87</v>
      </c>
    </row>
    <row r="9" spans="2:35" ht="30" customHeight="1" x14ac:dyDescent="0.25">
      <c r="B9" t="s">
        <v>88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1"/>
      <c r="AH9" s="2" t="s">
        <v>86</v>
      </c>
      <c r="AI9" s="24" t="s">
        <v>89</v>
      </c>
    </row>
    <row r="10" spans="2:35" ht="30" customHeight="1" x14ac:dyDescent="0.25">
      <c r="B10" t="s">
        <v>91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 t="s">
        <v>90</v>
      </c>
      <c r="AI10" s="24" t="s">
        <v>93</v>
      </c>
    </row>
    <row r="11" spans="2:35" ht="30" customHeight="1" x14ac:dyDescent="0.25">
      <c r="B11" s="34" t="s">
        <v>94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1"/>
      <c r="AH11" s="2" t="s">
        <v>86</v>
      </c>
      <c r="AI11" s="40" t="s">
        <v>95</v>
      </c>
    </row>
    <row r="12" spans="2:35" ht="30" customHeight="1" x14ac:dyDescent="0.25">
      <c r="B12" s="49" t="s">
        <v>96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1"/>
      <c r="AH12" s="2" t="s">
        <v>86</v>
      </c>
      <c r="AI12" s="40" t="s">
        <v>97</v>
      </c>
    </row>
    <row r="13" spans="2:35" ht="30" customHeight="1" x14ac:dyDescent="0.25">
      <c r="B13" s="49" t="s">
        <v>81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1"/>
      <c r="AH13" s="2" t="s">
        <v>86</v>
      </c>
      <c r="AI13" s="40" t="s">
        <v>98</v>
      </c>
    </row>
    <row r="14" spans="2:35" ht="30" customHeight="1" x14ac:dyDescent="0.25">
      <c r="B14" s="49" t="s">
        <v>99</v>
      </c>
      <c r="C14" s="1"/>
      <c r="D14" s="1"/>
      <c r="E14" s="1"/>
      <c r="F14" s="1"/>
      <c r="G14" s="1"/>
      <c r="H14" s="1"/>
      <c r="I14" s="1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1"/>
      <c r="AH14" s="2" t="s">
        <v>100</v>
      </c>
      <c r="AI14" s="40" t="s">
        <v>103</v>
      </c>
    </row>
    <row r="15" spans="2:35" ht="30" customHeight="1" x14ac:dyDescent="0.25">
      <c r="B15" s="51" t="s">
        <v>101</v>
      </c>
      <c r="C15" s="1"/>
      <c r="D15" s="1"/>
      <c r="E15" s="1"/>
      <c r="F15" s="1"/>
      <c r="G15" s="1"/>
      <c r="H15" s="1"/>
      <c r="I15" s="1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1"/>
      <c r="AH15" s="2" t="s">
        <v>102</v>
      </c>
      <c r="AI15" s="40" t="s">
        <v>79</v>
      </c>
    </row>
    <row r="16" spans="2:35" ht="30" customHeight="1" x14ac:dyDescent="0.25">
      <c r="B16" s="49" t="s">
        <v>47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1"/>
      <c r="AH16" s="2" t="s">
        <v>104</v>
      </c>
      <c r="AI16" s="40" t="s">
        <v>105</v>
      </c>
    </row>
    <row r="17" spans="2:35" ht="30" customHeight="1" thickBot="1" x14ac:dyDescent="0.3">
      <c r="B17" s="10"/>
      <c r="C17" s="4">
        <f>SUBTOTAL(103,Červen[1])</f>
        <v>0</v>
      </c>
      <c r="D17" s="4">
        <f>SUBTOTAL(103,Červen[2])</f>
        <v>0</v>
      </c>
      <c r="E17" s="4">
        <f>SUBTOTAL(103,Červen[3])</f>
        <v>0</v>
      </c>
      <c r="F17" s="4">
        <f>SUBTOTAL(103,Červen[4])</f>
        <v>0</v>
      </c>
      <c r="G17" s="4">
        <f>SUBTOTAL(103,Červen[5])</f>
        <v>0</v>
      </c>
      <c r="H17" s="4">
        <f>SUBTOTAL(103,Červen[6])</f>
        <v>0</v>
      </c>
      <c r="I17" s="4">
        <f>SUBTOTAL(103,Červen[7])</f>
        <v>0</v>
      </c>
      <c r="J17" s="4">
        <f>SUBTOTAL(103,Červen[8])</f>
        <v>0</v>
      </c>
      <c r="K17" s="4">
        <f>SUBTOTAL(103,Červen[9])</f>
        <v>0</v>
      </c>
      <c r="L17" s="4">
        <f>SUBTOTAL(103,Červen[10])</f>
        <v>0</v>
      </c>
      <c r="M17" s="4">
        <f>SUBTOTAL(103,Červen[11])</f>
        <v>0</v>
      </c>
      <c r="N17" s="4">
        <f>SUBTOTAL(103,Červen[12])</f>
        <v>0</v>
      </c>
      <c r="O17" s="4">
        <f>SUBTOTAL(103,Červen[13])</f>
        <v>0</v>
      </c>
      <c r="P17" s="4">
        <f>SUBTOTAL(103,Červen[14])</f>
        <v>0</v>
      </c>
      <c r="Q17" s="4">
        <f>SUBTOTAL(103,Červen[15])</f>
        <v>0</v>
      </c>
      <c r="R17" s="4">
        <f>SUBTOTAL(103,Červen[16])</f>
        <v>0</v>
      </c>
      <c r="S17" s="4">
        <f>SUBTOTAL(103,Červen[17])</f>
        <v>0</v>
      </c>
      <c r="T17" s="4">
        <f>SUBTOTAL(103,Červen[18])</f>
        <v>0</v>
      </c>
      <c r="U17" s="4">
        <f>SUBTOTAL(103,Červen[19])</f>
        <v>0</v>
      </c>
      <c r="V17" s="4">
        <f>SUBTOTAL(103,Červen[20])</f>
        <v>0</v>
      </c>
      <c r="W17" s="4">
        <f>SUBTOTAL(103,Červen[21])</f>
        <v>0</v>
      </c>
      <c r="X17" s="4">
        <f>SUBTOTAL(103,Červen[22])</f>
        <v>0</v>
      </c>
      <c r="Y17" s="4">
        <f>SUBTOTAL(103,Červen[23])</f>
        <v>0</v>
      </c>
      <c r="Z17" s="4">
        <f>SUBTOTAL(103,Červen[24])</f>
        <v>0</v>
      </c>
      <c r="AA17" s="4">
        <f>SUBTOTAL(103,Červen[25])</f>
        <v>0</v>
      </c>
      <c r="AB17" s="4">
        <f>SUBTOTAL(103,Červen[26])</f>
        <v>0</v>
      </c>
      <c r="AC17" s="4">
        <f>SUBTOTAL(103,Červen[27])</f>
        <v>0</v>
      </c>
      <c r="AD17" s="4">
        <f>SUBTOTAL(103,Červen[28])</f>
        <v>0</v>
      </c>
      <c r="AE17" s="4">
        <f>SUBTOTAL(103,Červen[29])</f>
        <v>0</v>
      </c>
      <c r="AF17" s="4">
        <f>SUBTOTAL(103,Červen[30])</f>
        <v>0</v>
      </c>
      <c r="AG17" s="4">
        <f>SUBTOTAL(103,Červen[[ ]])</f>
        <v>0</v>
      </c>
      <c r="AH17" s="4">
        <f>SUBTOTAL(109,Červen[[Datum ]])</f>
        <v>0</v>
      </c>
      <c r="AI17" s="15">
        <f>SUBTOTAL(109,Červen[[Datum ]])</f>
        <v>0</v>
      </c>
    </row>
  </sheetData>
  <mergeCells count="1">
    <mergeCell ref="C3:AG3"/>
  </mergeCells>
  <conditionalFormatting sqref="C6:AG16">
    <cfRule type="expression" priority="5" stopIfTrue="1">
      <formula>C6=""</formula>
    </cfRule>
    <cfRule type="expression" dxfId="77" priority="6" stopIfTrue="1">
      <formula>C6=VlastníKlíč2</formula>
    </cfRule>
    <cfRule type="expression" dxfId="76" priority="7" stopIfTrue="1">
      <formula>C6=VlastníKlíč1</formula>
    </cfRule>
    <cfRule type="expression" dxfId="75" priority="8" stopIfTrue="1">
      <formula>C6=KlíčZdravotníNeschopnost</formula>
    </cfRule>
    <cfRule type="expression" dxfId="74" priority="9" stopIfTrue="1">
      <formula>C6=KlíčOsobní</formula>
    </cfRule>
    <cfRule type="expression" dxfId="73" priority="10" stopIfTrue="1">
      <formula>C6=KlíčDovolená</formula>
    </cfRule>
  </conditionalFormatting>
  <conditionalFormatting sqref="AH7">
    <cfRule type="dataBar" priority="3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{CC4B551C-F2F7-43A3-9F5E-7AC0D3CB5B9C}</x14:id>
        </ext>
      </extLst>
    </cfRule>
  </conditionalFormatting>
  <conditionalFormatting sqref="AH8:AH9">
    <cfRule type="dataBar" priority="2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conditionalFormatting sqref="AH10">
    <cfRule type="dataBar" priority="12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{18FCC0D0-E10D-472A-BC05-13F4BDF8C9AB}</x14:id>
        </ext>
      </extLst>
    </cfRule>
  </conditionalFormatting>
  <conditionalFormatting sqref="AI6">
    <cfRule type="dataBar" priority="13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{E1F092DC-FF57-49E0-A661-8C316F1A15FC}</x14:id>
        </ext>
      </extLst>
    </cfRule>
  </conditionalFormatting>
  <conditionalFormatting sqref="AI7">
    <cfRule type="dataBar" priority="4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{59084BE7-D094-4060-B18A-0D0937FE1959}</x14:id>
        </ext>
      </extLst>
    </cfRule>
  </conditionalFormatting>
  <conditionalFormatting sqref="AI8:AI9">
    <cfRule type="dataBar" priority="20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{EB7DA8F5-87E1-4F00-966D-72665B4305AF}</x14:id>
        </ext>
      </extLst>
    </cfRule>
  </conditionalFormatting>
  <conditionalFormatting sqref="AI10:AI14">
    <cfRule type="dataBar" priority="2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{E0D42534-8731-44A9-8A51-EF812A4FFA6B}</x14:id>
        </ext>
      </extLst>
    </cfRule>
  </conditionalFormatting>
  <conditionalFormatting sqref="AI15:AI16">
    <cfRule type="dataBar" priority="17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{0B9BD93B-6DBB-48C4-B18F-96D977720D8D}</x14:id>
        </ext>
      </extLst>
    </cfRule>
  </conditionalFormatting>
  <dataValidations count="8"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500-000000000000}"/>
    <dataValidation allowBlank="1" showInputMessage="1" showErrorMessage="1" prompt="Automaticky aktualizovaný rok na základě roku zadaného v listu Leden." sqref="AH3" xr:uid="{00000000-0002-0000-0500-000001000000}"/>
    <dataValidation allowBlank="1" showInputMessage="1" showErrorMessage="1" prompt="V tomto listu se sleduje nepřítomnost v červnu." sqref="A1" xr:uid="{00000000-0002-0000-0500-000003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" xr:uid="{00000000-0002-0000-0500-000004000000}"/>
    <dataValidation allowBlank="1" showInputMessage="1" showErrorMessage="1" prompt="V této buňce je automaticky aktualizovaný název. Pokud chcete upravit název, aktualizujte buňku B1 na listu Leden." sqref="B1" xr:uid="{00000000-0002-0000-0500-000005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500-00000C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500-00000D000000}"/>
    <dataValidation allowBlank="1" showInputMessage="1" showErrorMessage="1" prompt="Automaticky vypočítá celkový počet dní nepřítomnosti zaměstnance v tomto měsíci." sqref="AH5:AI5" xr:uid="{88EEDC71-2E09-4BF0-9E06-BFECB54F1D7C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4B551C-F2F7-43A3-9F5E-7AC0D3CB5B9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AH7</xm:sqref>
        </x14:conditionalFormatting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AH8:AH9</xm:sqref>
        </x14:conditionalFormatting>
        <x14:conditionalFormatting xmlns:xm="http://schemas.microsoft.com/office/excel/2006/main">
          <x14:cfRule type="dataBar" id="{18FCC0D0-E10D-472A-BC05-13F4BDF8C9A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AH10</xm:sqref>
        </x14:conditionalFormatting>
        <x14:conditionalFormatting xmlns:xm="http://schemas.microsoft.com/office/excel/2006/main">
          <x14:cfRule type="dataBar" id="{E1F092DC-FF57-49E0-A661-8C316F1A15F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</xm:sqref>
        </x14:conditionalFormatting>
        <x14:conditionalFormatting xmlns:xm="http://schemas.microsoft.com/office/excel/2006/main">
          <x14:cfRule type="dataBar" id="{59084BE7-D094-4060-B18A-0D0937FE1959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</xm:sqref>
        </x14:conditionalFormatting>
        <x14:conditionalFormatting xmlns:xm="http://schemas.microsoft.com/office/excel/2006/main">
          <x14:cfRule type="dataBar" id="{EB7DA8F5-87E1-4F00-966D-72665B4305AF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AI8:AI9</xm:sqref>
        </x14:conditionalFormatting>
        <x14:conditionalFormatting xmlns:xm="http://schemas.microsoft.com/office/excel/2006/main">
          <x14:cfRule type="dataBar" id="{E0D42534-8731-44A9-8A51-EF812A4FFA6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AI10:AI14</xm:sqref>
        </x14:conditionalFormatting>
        <x14:conditionalFormatting xmlns:xm="http://schemas.microsoft.com/office/excel/2006/main">
          <x14:cfRule type="dataBar" id="{0B9BD93B-6DBB-48C4-B18F-96D977720D8D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AI15:AI16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B1:AI11"/>
  <sheetViews>
    <sheetView showGridLines="0" zoomScaleNormal="100" workbookViewId="0">
      <selection activeCell="G10" sqref="G10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1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39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TEXT(WEEKDAY(DATE(KalendářníRok,7,1),1),"aaa")</f>
        <v>st</v>
      </c>
      <c r="D4" s="1" t="str">
        <f>TEXT(WEEKDAY(DATE(KalendářníRok,7,2),1),"aaa")</f>
        <v>čt</v>
      </c>
      <c r="E4" s="1" t="str">
        <f>TEXT(WEEKDAY(DATE(KalendářníRok,7,3),1),"aaa")</f>
        <v>pá</v>
      </c>
      <c r="F4" s="1" t="str">
        <f>TEXT(WEEKDAY(DATE(KalendářníRok,7,4),1),"aaa")</f>
        <v>so</v>
      </c>
      <c r="G4" s="1" t="str">
        <f>TEXT(WEEKDAY(DATE(KalendářníRok,7,5),1),"aaa")</f>
        <v>ne</v>
      </c>
      <c r="H4" s="1" t="str">
        <f>TEXT(WEEKDAY(DATE(KalendářníRok,7,6),1),"aaa")</f>
        <v>po</v>
      </c>
      <c r="I4" s="1" t="str">
        <f>TEXT(WEEKDAY(DATE(KalendářníRok,7,7),1),"aaa")</f>
        <v>út</v>
      </c>
      <c r="J4" s="1" t="str">
        <f>TEXT(WEEKDAY(DATE(KalendářníRok,7,8),1),"aaa")</f>
        <v>st</v>
      </c>
      <c r="K4" s="1" t="str">
        <f>TEXT(WEEKDAY(DATE(KalendářníRok,7,9),1),"aaa")</f>
        <v>čt</v>
      </c>
      <c r="L4" s="1" t="str">
        <f>TEXT(WEEKDAY(DATE(KalendářníRok,7,10),1),"aaa")</f>
        <v>pá</v>
      </c>
      <c r="M4" s="1" t="str">
        <f>TEXT(WEEKDAY(DATE(KalendářníRok,7,11),1),"aaa")</f>
        <v>so</v>
      </c>
      <c r="N4" s="1" t="str">
        <f>TEXT(WEEKDAY(DATE(KalendářníRok,7,12),1),"aaa")</f>
        <v>ne</v>
      </c>
      <c r="O4" s="1" t="str">
        <f>TEXT(WEEKDAY(DATE(KalendářníRok,7,13),1),"aaa")</f>
        <v>po</v>
      </c>
      <c r="P4" s="1" t="str">
        <f>TEXT(WEEKDAY(DATE(KalendářníRok,7,14),1),"aaa")</f>
        <v>út</v>
      </c>
      <c r="Q4" s="1" t="str">
        <f>TEXT(WEEKDAY(DATE(KalendářníRok,7,15),1),"aaa")</f>
        <v>st</v>
      </c>
      <c r="R4" s="1" t="str">
        <f>TEXT(WEEKDAY(DATE(KalendářníRok,7,16),1),"aaa")</f>
        <v>čt</v>
      </c>
      <c r="S4" s="1" t="str">
        <f>TEXT(WEEKDAY(DATE(KalendářníRok,7,17),1),"aaa")</f>
        <v>pá</v>
      </c>
      <c r="T4" s="1" t="str">
        <f>TEXT(WEEKDAY(DATE(KalendářníRok,7,18),1),"aaa")</f>
        <v>so</v>
      </c>
      <c r="U4" s="1" t="str">
        <f>TEXT(WEEKDAY(DATE(KalendářníRok,7,19),1),"aaa")</f>
        <v>ne</v>
      </c>
      <c r="V4" s="1" t="str">
        <f>TEXT(WEEKDAY(DATE(KalendářníRok,7,20),1),"aaa")</f>
        <v>po</v>
      </c>
      <c r="W4" s="1" t="str">
        <f>TEXT(WEEKDAY(DATE(KalendářníRok,7,21),1),"aaa")</f>
        <v>út</v>
      </c>
      <c r="X4" s="1" t="str">
        <f>TEXT(WEEKDAY(DATE(KalendářníRok,7,22),1),"aaa")</f>
        <v>st</v>
      </c>
      <c r="Y4" s="1" t="str">
        <f>TEXT(WEEKDAY(DATE(KalendářníRok,7,23),1),"aaa")</f>
        <v>čt</v>
      </c>
      <c r="Z4" s="1" t="str">
        <f>TEXT(WEEKDAY(DATE(KalendářníRok,7,24),1),"aaa")</f>
        <v>pá</v>
      </c>
      <c r="AA4" s="1" t="str">
        <f>TEXT(WEEKDAY(DATE(KalendářníRok,7,25),1),"aaa")</f>
        <v>so</v>
      </c>
      <c r="AB4" s="1" t="str">
        <f>TEXT(WEEKDAY(DATE(KalendářníRok,7,26),1),"aaa")</f>
        <v>ne</v>
      </c>
      <c r="AC4" s="1" t="str">
        <f>TEXT(WEEKDAY(DATE(KalendářníRok,7,27),1),"aaa")</f>
        <v>po</v>
      </c>
      <c r="AD4" s="1" t="str">
        <f>TEXT(WEEKDAY(DATE(KalendářníRok,7,28),1),"aaa")</f>
        <v>út</v>
      </c>
      <c r="AE4" s="1" t="str">
        <f>TEXT(WEEKDAY(DATE(KalendářníRok,7,29),1),"aaa")</f>
        <v>st</v>
      </c>
      <c r="AF4" s="1" t="str">
        <f>TEXT(WEEKDAY(DATE(KalendářníRok,7,30),1),"aaa")</f>
        <v>čt</v>
      </c>
      <c r="AG4" s="1" t="str">
        <f>TEXT(WEEKDAY(DATE(KalendářníRok,7,31),1),"aaa")</f>
        <v>pá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6" t="s">
        <v>52</v>
      </c>
    </row>
    <row r="6" spans="2:35" ht="30" customHeight="1" x14ac:dyDescent="0.25">
      <c r="B6" t="s">
        <v>99</v>
      </c>
      <c r="C6" s="52"/>
      <c r="D6" s="52"/>
      <c r="E6" s="52"/>
      <c r="F6" s="52"/>
      <c r="G6" s="5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100</v>
      </c>
      <c r="AI6" s="40" t="s">
        <v>103</v>
      </c>
    </row>
    <row r="7" spans="2:35" ht="30" customHeight="1" x14ac:dyDescent="0.25">
      <c r="B7" s="51" t="s">
        <v>101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2" t="s">
        <v>102</v>
      </c>
      <c r="AI7" s="40" t="s">
        <v>79</v>
      </c>
    </row>
    <row r="8" spans="2:35" ht="59.25" customHeight="1" x14ac:dyDescent="0.25">
      <c r="B8" t="s">
        <v>106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2" t="s">
        <v>107</v>
      </c>
      <c r="AI8" s="24" t="s">
        <v>108</v>
      </c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COUNTA(Červenec[[#This Row],[1]:[31]])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COUNTA(Červenec[[#This Row],[1]:[31]])</f>
        <v>0</v>
      </c>
      <c r="AI10" s="19"/>
    </row>
    <row r="11" spans="2:35" ht="30" customHeight="1" thickBot="1" x14ac:dyDescent="0.3">
      <c r="B11" s="10"/>
      <c r="C11" s="4">
        <f>SUBTOTAL(103,Červenec[1])</f>
        <v>0</v>
      </c>
      <c r="D11" s="4">
        <f>SUBTOTAL(103,Červenec[2])</f>
        <v>0</v>
      </c>
      <c r="E11" s="4">
        <f>SUBTOTAL(103,Červenec[3])</f>
        <v>0</v>
      </c>
      <c r="F11" s="4">
        <f>SUBTOTAL(103,Červenec[4])</f>
        <v>0</v>
      </c>
      <c r="G11" s="4">
        <f>SUBTOTAL(103,Červenec[5])</f>
        <v>0</v>
      </c>
      <c r="H11" s="4">
        <f>SUBTOTAL(103,Červenec[6])</f>
        <v>0</v>
      </c>
      <c r="I11" s="4">
        <f>SUBTOTAL(103,Červenec[7])</f>
        <v>0</v>
      </c>
      <c r="J11" s="4">
        <f>SUBTOTAL(103,Červenec[8])</f>
        <v>0</v>
      </c>
      <c r="K11" s="4">
        <f>SUBTOTAL(103,Červenec[9])</f>
        <v>0</v>
      </c>
      <c r="L11" s="4">
        <f>SUBTOTAL(103,Červenec[10])</f>
        <v>0</v>
      </c>
      <c r="M11" s="4">
        <f>SUBTOTAL(103,Červenec[11])</f>
        <v>0</v>
      </c>
      <c r="N11" s="4">
        <f>SUBTOTAL(103,Červenec[12])</f>
        <v>0</v>
      </c>
      <c r="O11" s="4">
        <f>SUBTOTAL(103,Červenec[13])</f>
        <v>0</v>
      </c>
      <c r="P11" s="4">
        <f>SUBTOTAL(103,Červenec[14])</f>
        <v>0</v>
      </c>
      <c r="Q11" s="4">
        <f>SUBTOTAL(103,Červenec[15])</f>
        <v>0</v>
      </c>
      <c r="R11" s="4">
        <f>SUBTOTAL(103,Červenec[16])</f>
        <v>0</v>
      </c>
      <c r="S11" s="4">
        <f>SUBTOTAL(103,Červenec[17])</f>
        <v>0</v>
      </c>
      <c r="T11" s="4">
        <f>SUBTOTAL(103,Červenec[18])</f>
        <v>0</v>
      </c>
      <c r="U11" s="4">
        <f>SUBTOTAL(103,Červenec[19])</f>
        <v>0</v>
      </c>
      <c r="V11" s="4">
        <f>SUBTOTAL(103,Červenec[20])</f>
        <v>0</v>
      </c>
      <c r="W11" s="4">
        <f>SUBTOTAL(103,Červenec[21])</f>
        <v>0</v>
      </c>
      <c r="X11" s="4">
        <f>SUBTOTAL(103,Červenec[22])</f>
        <v>0</v>
      </c>
      <c r="Y11" s="4">
        <f>SUBTOTAL(103,Červenec[23])</f>
        <v>0</v>
      </c>
      <c r="Z11" s="4">
        <f>SUBTOTAL(103,Červenec[24])</f>
        <v>0</v>
      </c>
      <c r="AA11" s="4">
        <f>SUBTOTAL(103,Červenec[25])</f>
        <v>0</v>
      </c>
      <c r="AB11" s="4">
        <f>SUBTOTAL(103,Červenec[26])</f>
        <v>0</v>
      </c>
      <c r="AC11" s="4">
        <f>SUBTOTAL(103,Červenec[27])</f>
        <v>0</v>
      </c>
      <c r="AD11" s="4">
        <f>SUBTOTAL(103,Červenec[28])</f>
        <v>0</v>
      </c>
      <c r="AE11" s="4">
        <f>SUBTOTAL(103,Červenec[29])</f>
        <v>0</v>
      </c>
      <c r="AF11" s="4">
        <f>SUBTOTAL(103,Červenec[30])</f>
        <v>0</v>
      </c>
      <c r="AG11" s="4">
        <f>SUBTOTAL(103,Červenec[31])</f>
        <v>0</v>
      </c>
      <c r="AH11" s="4">
        <f>SUBTOTAL(109,Červenec[[Datum ]])</f>
        <v>0</v>
      </c>
      <c r="AI11" s="15">
        <f>SUBTOTAL(109,Červenec[[Datum ]])</f>
        <v>0</v>
      </c>
    </row>
  </sheetData>
  <mergeCells count="1">
    <mergeCell ref="C3:AG3"/>
  </mergeCells>
  <conditionalFormatting sqref="C6:AG10">
    <cfRule type="expression" priority="2" stopIfTrue="1">
      <formula>C6=""</formula>
    </cfRule>
    <cfRule type="expression" dxfId="72" priority="3" stopIfTrue="1">
      <formula>C6=VlastníKlíč2</formula>
    </cfRule>
    <cfRule type="expression" dxfId="71" priority="4" stopIfTrue="1">
      <formula>C6=VlastníKlíč1</formula>
    </cfRule>
    <cfRule type="expression" dxfId="70" priority="5" stopIfTrue="1">
      <formula>C6=KlíčZdravotníNeschopnost</formula>
    </cfRule>
    <cfRule type="expression" dxfId="69" priority="6" stopIfTrue="1">
      <formula>C6=KlíčOsobní</formula>
    </cfRule>
    <cfRule type="expression" dxfId="68" priority="7" stopIfTrue="1">
      <formula>C6=KlíčDovolená</formula>
    </cfRule>
  </conditionalFormatting>
  <conditionalFormatting sqref="AF7:AG7">
    <cfRule type="expression" priority="10" stopIfTrue="1">
      <formula>AF7=""</formula>
    </cfRule>
    <cfRule type="expression" dxfId="67" priority="11" stopIfTrue="1">
      <formula>AF7=VlastníKlíč2</formula>
    </cfRule>
    <cfRule type="expression" dxfId="66" priority="12" stopIfTrue="1">
      <formula>AF7=VlastníKlíč1</formula>
    </cfRule>
    <cfRule type="expression" dxfId="65" priority="13" stopIfTrue="1">
      <formula>AF7=KlíčZdravotníNeschopnost</formula>
    </cfRule>
    <cfRule type="expression" dxfId="64" priority="14" stopIfTrue="1">
      <formula>AF7=KlíčOsobní</formula>
    </cfRule>
    <cfRule type="expression" dxfId="63" priority="15" stopIfTrue="1">
      <formula>AF7=KlíčDovolená</formula>
    </cfRule>
  </conditionalFormatting>
  <conditionalFormatting sqref="AH8:AH10">
    <cfRule type="dataBar" priority="16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conditionalFormatting sqref="AI6">
    <cfRule type="dataBar" priority="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{DD2AFAE1-9804-45D8-90C4-68715D3C1677}</x14:id>
        </ext>
      </extLst>
    </cfRule>
  </conditionalFormatting>
  <conditionalFormatting sqref="AI7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{6A49F663-591D-4A43-8F52-BB580EBCA7D2}</x14:id>
        </ext>
      </extLst>
    </cfRule>
  </conditionalFormatting>
  <conditionalFormatting sqref="AI8:AI10">
    <cfRule type="dataBar" priority="9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{478CF2DA-D580-4157-8CA7-253DD9AA9AF7}</x14:id>
        </ext>
      </extLst>
    </cfRule>
  </conditionalFormatting>
  <dataValidations count="8"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600-000000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600-000001000000}"/>
    <dataValidation allowBlank="1" showInputMessage="1" showErrorMessage="1" prompt="V této buňce je automaticky aktualizovaný název. Pokud chcete upravit název, aktualizujte buňku B1 na listu Leden." sqref="B1" xr:uid="{00000000-0002-0000-0600-000008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 AI5" xr:uid="{00000000-0002-0000-0600-000009000000}"/>
    <dataValidation allowBlank="1" showInputMessage="1" showErrorMessage="1" prompt="V tomto listu se sleduje nepřítomnost v červenci." sqref="A1" xr:uid="{00000000-0002-0000-0600-00000A000000}"/>
    <dataValidation allowBlank="1" showInputMessage="1" showErrorMessage="1" prompt="Automaticky aktualizovaný rok na základě roku zadaného v listu Leden." sqref="AH3" xr:uid="{00000000-0002-0000-0600-00000C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600-00000D000000}"/>
    <dataValidation allowBlank="1" showInputMessage="1" showErrorMessage="1" prompt="Automaticky vypočítá celkový počet dní nepřítomnosti zaměstnance v tomto měsíci." sqref="AH5" xr:uid="{F7827F02-6E08-4981-91E3-D4F013CA9B88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AH8:AH10</xm:sqref>
        </x14:conditionalFormatting>
        <x14:conditionalFormatting xmlns:xm="http://schemas.microsoft.com/office/excel/2006/main">
          <x14:cfRule type="dataBar" id="{DD2AFAE1-9804-45D8-90C4-68715D3C1677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</xm:sqref>
        </x14:conditionalFormatting>
        <x14:conditionalFormatting xmlns:xm="http://schemas.microsoft.com/office/excel/2006/main">
          <x14:cfRule type="dataBar" id="{6A49F663-591D-4A43-8F52-BB580EBCA7D2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</xm:sqref>
        </x14:conditionalFormatting>
        <x14:conditionalFormatting xmlns:xm="http://schemas.microsoft.com/office/excel/2006/main">
          <x14:cfRule type="dataBar" id="{478CF2DA-D580-4157-8CA7-253DD9AA9AF7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AI8:AI10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749992370372631"/>
    <pageSetUpPr fitToPage="1"/>
  </sheetPr>
  <dimension ref="B1:AI11"/>
  <sheetViews>
    <sheetView showGridLines="0" tabSelected="1" zoomScaleNormal="100" workbookViewId="0">
      <selection activeCell="AH12" sqref="AH12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3.4257812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0"/>
    </row>
    <row r="4" spans="2:35" ht="15" customHeight="1" x14ac:dyDescent="0.25">
      <c r="B4" s="3"/>
      <c r="C4" s="1" t="str">
        <f>TEXT(WEEKDAY(DATE(KalendářníRok,8,1),1),"aaa")</f>
        <v>so</v>
      </c>
      <c r="D4" s="1" t="str">
        <f>TEXT(WEEKDAY(DATE(KalendářníRok,8,2),1),"aaa")</f>
        <v>ne</v>
      </c>
      <c r="E4" s="1" t="str">
        <f>TEXT(WEEKDAY(DATE(KalendářníRok,8,3),1),"aaa")</f>
        <v>po</v>
      </c>
      <c r="F4" s="1" t="str">
        <f>TEXT(WEEKDAY(DATE(KalendářníRok,8,4),1),"aaa")</f>
        <v>út</v>
      </c>
      <c r="G4" s="1" t="str">
        <f>TEXT(WEEKDAY(DATE(KalendářníRok,8,5),1),"aaa")</f>
        <v>st</v>
      </c>
      <c r="H4" s="1" t="str">
        <f>TEXT(WEEKDAY(DATE(KalendářníRok,8,6),1),"aaa")</f>
        <v>čt</v>
      </c>
      <c r="I4" s="1" t="str">
        <f>TEXT(WEEKDAY(DATE(KalendářníRok,8,7),1),"aaa")</f>
        <v>pá</v>
      </c>
      <c r="J4" s="1" t="str">
        <f>TEXT(WEEKDAY(DATE(KalendářníRok,8,8),1),"aaa")</f>
        <v>so</v>
      </c>
      <c r="K4" s="1" t="str">
        <f>TEXT(WEEKDAY(DATE(KalendářníRok,8,9),1),"aaa")</f>
        <v>ne</v>
      </c>
      <c r="L4" s="1" t="str">
        <f>TEXT(WEEKDAY(DATE(KalendářníRok,8,10),1),"aaa")</f>
        <v>po</v>
      </c>
      <c r="M4" s="1" t="str">
        <f>TEXT(WEEKDAY(DATE(KalendářníRok,8,11),1),"aaa")</f>
        <v>út</v>
      </c>
      <c r="N4" s="1" t="str">
        <f>TEXT(WEEKDAY(DATE(KalendářníRok,8,12),1),"aaa")</f>
        <v>st</v>
      </c>
      <c r="O4" s="1" t="str">
        <f>TEXT(WEEKDAY(DATE(KalendářníRok,8,13),1),"aaa")</f>
        <v>čt</v>
      </c>
      <c r="P4" s="1" t="str">
        <f>TEXT(WEEKDAY(DATE(KalendářníRok,8,14),1),"aaa")</f>
        <v>pá</v>
      </c>
      <c r="Q4" s="1" t="str">
        <f>TEXT(WEEKDAY(DATE(KalendářníRok,8,15),1),"aaa")</f>
        <v>so</v>
      </c>
      <c r="R4" s="1" t="str">
        <f>TEXT(WEEKDAY(DATE(KalendářníRok,8,16),1),"aaa")</f>
        <v>ne</v>
      </c>
      <c r="S4" s="1" t="str">
        <f>TEXT(WEEKDAY(DATE(KalendářníRok,8,17),1),"aaa")</f>
        <v>po</v>
      </c>
      <c r="T4" s="1" t="str">
        <f>TEXT(WEEKDAY(DATE(KalendářníRok,8,18),1),"aaa")</f>
        <v>út</v>
      </c>
      <c r="U4" s="1" t="str">
        <f>TEXT(WEEKDAY(DATE(KalendářníRok,8,19),1),"aaa")</f>
        <v>st</v>
      </c>
      <c r="V4" s="1" t="str">
        <f>TEXT(WEEKDAY(DATE(KalendářníRok,8,20),1),"aaa")</f>
        <v>čt</v>
      </c>
      <c r="W4" s="1" t="str">
        <f>TEXT(WEEKDAY(DATE(KalendářníRok,8,21),1),"aaa")</f>
        <v>pá</v>
      </c>
      <c r="X4" s="1" t="str">
        <f>TEXT(WEEKDAY(DATE(KalendářníRok,8,22),1),"aaa")</f>
        <v>so</v>
      </c>
      <c r="Y4" s="1" t="str">
        <f>TEXT(WEEKDAY(DATE(KalendářníRok,8,23),1),"aaa")</f>
        <v>ne</v>
      </c>
      <c r="Z4" s="1" t="str">
        <f>TEXT(WEEKDAY(DATE(KalendářníRok,8,24),1),"aaa")</f>
        <v>po</v>
      </c>
      <c r="AA4" s="1" t="str">
        <f>TEXT(WEEKDAY(DATE(KalendářníRok,8,25),1),"aaa")</f>
        <v>út</v>
      </c>
      <c r="AB4" s="1" t="str">
        <f>TEXT(WEEKDAY(DATE(KalendářníRok,8,26),1),"aaa")</f>
        <v>st</v>
      </c>
      <c r="AC4" s="1" t="str">
        <f>TEXT(WEEKDAY(DATE(KalendářníRok,8,27),1),"aaa")</f>
        <v>čt</v>
      </c>
      <c r="AD4" s="1" t="str">
        <f>TEXT(WEEKDAY(DATE(KalendářníRok,8,28),1),"aaa")</f>
        <v>pá</v>
      </c>
      <c r="AE4" s="1" t="str">
        <f>TEXT(WEEKDAY(DATE(KalendářníRok,8,29),1),"aaa")</f>
        <v>so</v>
      </c>
      <c r="AF4" s="1" t="str">
        <f>TEXT(WEEKDAY(DATE(KalendářníRok,8,30),1),"aaa")</f>
        <v>ne</v>
      </c>
      <c r="AG4" s="1" t="str">
        <f>TEXT(WEEKDAY(DATE(KalendářníRok,8,31),1),"aaa")</f>
        <v>po</v>
      </c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7" t="s">
        <v>53</v>
      </c>
      <c r="AI5" s="22" t="s">
        <v>52</v>
      </c>
    </row>
    <row r="6" spans="2:35" ht="30" customHeight="1" x14ac:dyDescent="0.25">
      <c r="B6" s="51" t="s">
        <v>101</v>
      </c>
      <c r="C6" s="53"/>
      <c r="D6" s="5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 t="s">
        <v>102</v>
      </c>
      <c r="AI6" s="40" t="s">
        <v>79</v>
      </c>
    </row>
    <row r="7" spans="2:35" ht="50.25" customHeight="1" x14ac:dyDescent="0.25">
      <c r="B7" t="s">
        <v>109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2" t="s">
        <v>110</v>
      </c>
      <c r="AI7" s="24" t="s">
        <v>111</v>
      </c>
    </row>
    <row r="8" spans="2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>
        <f>COUNTA(Srpen[[#This Row],[1]:[31]])</f>
        <v>0</v>
      </c>
      <c r="AI8" s="19"/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COUNTA(Srpen[[#This Row],[1]:[31]])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COUNTA(Srpen[[#This Row],[1]:[31]])</f>
        <v>0</v>
      </c>
      <c r="AI10" s="19"/>
    </row>
    <row r="11" spans="2:35" ht="30" customHeight="1" thickBot="1" x14ac:dyDescent="0.3">
      <c r="B11" s="10"/>
      <c r="C11" s="4">
        <f>SUBTOTAL(103,Srpen[1])</f>
        <v>0</v>
      </c>
      <c r="D11" s="4">
        <f>SUBTOTAL(103,Srpen[2])</f>
        <v>0</v>
      </c>
      <c r="E11" s="4">
        <f>SUBTOTAL(103,Srpen[3])</f>
        <v>0</v>
      </c>
      <c r="F11" s="4">
        <f>SUBTOTAL(103,Srpen[4])</f>
        <v>0</v>
      </c>
      <c r="G11" s="4">
        <f>SUBTOTAL(103,Srpen[5])</f>
        <v>0</v>
      </c>
      <c r="H11" s="4">
        <f>SUBTOTAL(103,Srpen[6])</f>
        <v>0</v>
      </c>
      <c r="I11" s="4">
        <f>SUBTOTAL(103,Srpen[7])</f>
        <v>0</v>
      </c>
      <c r="J11" s="4">
        <f>SUBTOTAL(103,Srpen[8])</f>
        <v>0</v>
      </c>
      <c r="K11" s="4">
        <f>SUBTOTAL(103,Srpen[9])</f>
        <v>0</v>
      </c>
      <c r="L11" s="4">
        <f>SUBTOTAL(103,Srpen[10])</f>
        <v>0</v>
      </c>
      <c r="M11" s="4">
        <f>SUBTOTAL(103,Srpen[11])</f>
        <v>0</v>
      </c>
      <c r="N11" s="4">
        <f>SUBTOTAL(103,Srpen[12])</f>
        <v>0</v>
      </c>
      <c r="O11" s="4">
        <f>SUBTOTAL(103,Srpen[13])</f>
        <v>0</v>
      </c>
      <c r="P11" s="4">
        <f>SUBTOTAL(103,Srpen[14])</f>
        <v>0</v>
      </c>
      <c r="Q11" s="4">
        <f>SUBTOTAL(103,Srpen[15])</f>
        <v>0</v>
      </c>
      <c r="R11" s="4">
        <f>SUBTOTAL(103,Srpen[16])</f>
        <v>0</v>
      </c>
      <c r="S11" s="4">
        <f>SUBTOTAL(103,Srpen[17])</f>
        <v>0</v>
      </c>
      <c r="T11" s="4">
        <f>SUBTOTAL(103,Srpen[18])</f>
        <v>0</v>
      </c>
      <c r="U11" s="4">
        <f>SUBTOTAL(103,Srpen[19])</f>
        <v>0</v>
      </c>
      <c r="V11" s="4">
        <f>SUBTOTAL(103,Srpen[20])</f>
        <v>0</v>
      </c>
      <c r="W11" s="4">
        <f>SUBTOTAL(103,Srpen[21])</f>
        <v>0</v>
      </c>
      <c r="X11" s="4">
        <f>SUBTOTAL(103,Srpen[22])</f>
        <v>0</v>
      </c>
      <c r="Y11" s="4">
        <f>SUBTOTAL(103,Srpen[23])</f>
        <v>0</v>
      </c>
      <c r="Z11" s="4">
        <f>SUBTOTAL(103,Srpen[24])</f>
        <v>0</v>
      </c>
      <c r="AA11" s="4">
        <f>SUBTOTAL(103,Srpen[25])</f>
        <v>0</v>
      </c>
      <c r="AB11" s="4">
        <f>SUBTOTAL(103,Srpen[26])</f>
        <v>0</v>
      </c>
      <c r="AC11" s="4">
        <f>SUBTOTAL(103,Srpen[27])</f>
        <v>0</v>
      </c>
      <c r="AD11" s="4">
        <f>SUBTOTAL(103,Srpen[28])</f>
        <v>0</v>
      </c>
      <c r="AE11" s="4">
        <f>SUBTOTAL(103,Srpen[29])</f>
        <v>0</v>
      </c>
      <c r="AF11" s="4">
        <f>SUBTOTAL(103,Srpen[30])</f>
        <v>0</v>
      </c>
      <c r="AG11" s="4">
        <f>SUBTOTAL(103,Srpen[31])</f>
        <v>0</v>
      </c>
      <c r="AH11" s="4">
        <f>SUBTOTAL(109,Srpen[[Datum ]])</f>
        <v>0</v>
      </c>
      <c r="AI11" s="15">
        <f>SUBTOTAL(109,Srpen[[Datum ]])</f>
        <v>0</v>
      </c>
    </row>
  </sheetData>
  <mergeCells count="1">
    <mergeCell ref="C3:AG3"/>
  </mergeCells>
  <conditionalFormatting sqref="C6:D6">
    <cfRule type="expression" priority="2" stopIfTrue="1">
      <formula>C6=""</formula>
    </cfRule>
    <cfRule type="expression" dxfId="62" priority="3" stopIfTrue="1">
      <formula>C6=VlastníKlíč2</formula>
    </cfRule>
    <cfRule type="expression" dxfId="61" priority="4" stopIfTrue="1">
      <formula>C6=VlastníKlíč1</formula>
    </cfRule>
    <cfRule type="expression" dxfId="60" priority="5" stopIfTrue="1">
      <formula>C6=KlíčZdravotníNeschopnost</formula>
    </cfRule>
    <cfRule type="expression" dxfId="59" priority="6" stopIfTrue="1">
      <formula>C6=KlíčOsobní</formula>
    </cfRule>
    <cfRule type="expression" dxfId="58" priority="7" stopIfTrue="1">
      <formula>C6=KlíčDovolená</formula>
    </cfRule>
  </conditionalFormatting>
  <conditionalFormatting sqref="E6:AG6 C7:AG10">
    <cfRule type="expression" priority="9" stopIfTrue="1">
      <formula>C6=""</formula>
    </cfRule>
    <cfRule type="expression" dxfId="57" priority="10" stopIfTrue="1">
      <formula>C6=VlastníKlíč2</formula>
    </cfRule>
    <cfRule type="expression" dxfId="56" priority="11" stopIfTrue="1">
      <formula>C6=VlastníKlíč1</formula>
    </cfRule>
    <cfRule type="expression" dxfId="55" priority="12" stopIfTrue="1">
      <formula>C6=KlíčZdravotníNeschopnost</formula>
    </cfRule>
    <cfRule type="expression" dxfId="54" priority="13" stopIfTrue="1">
      <formula>C6=KlíčOsobní</formula>
    </cfRule>
    <cfRule type="expression" dxfId="53" priority="14" stopIfTrue="1">
      <formula>C6=KlíčDovolená</formula>
    </cfRule>
  </conditionalFormatting>
  <conditionalFormatting sqref="AH7:AH10">
    <cfRule type="dataBar" priority="15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conditionalFormatting sqref="AI6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{D5910EFD-1F1E-4045-A275-52DEF60F00BF}</x14:id>
        </ext>
      </extLst>
    </cfRule>
  </conditionalFormatting>
  <conditionalFormatting sqref="AI7:AI10">
    <cfRule type="dataBar" priority="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{2FC0C995-4171-44A0-A06B-317CC41ED8FC}</x14:id>
        </ext>
      </extLst>
    </cfRule>
  </conditionalFormatting>
  <dataValidations count="8"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700-000000000000}"/>
    <dataValidation allowBlank="1" showInputMessage="1" showErrorMessage="1" prompt="Automaticky aktualizovaný rok na základě roku zadaného v listu Leden." sqref="AH3" xr:uid="{00000000-0002-0000-0700-000001000000}"/>
    <dataValidation allowBlank="1" showInputMessage="1" showErrorMessage="1" prompt="V tomto listu se sleduje nepřítomnost v srpnu." sqref="A1" xr:uid="{00000000-0002-0000-0700-000003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 AI5" xr:uid="{00000000-0002-0000-0700-000004000000}"/>
    <dataValidation allowBlank="1" showInputMessage="1" showErrorMessage="1" prompt="V této buňce je automaticky aktualizovaný název. Pokud chcete upravit název, aktualizujte buňku B1 na listu Leden." sqref="B1" xr:uid="{00000000-0002-0000-0700-000005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700-00000C000000}"/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700-00000D000000}"/>
    <dataValidation allowBlank="1" showInputMessage="1" showErrorMessage="1" prompt="Automaticky vypočítá celkový počet dní nepřítomnosti zaměstnance v tomto měsíci." sqref="AH5" xr:uid="{CBEACF0F-4765-452B-805B-A8AEA9EA9851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AH7:AH10</xm:sqref>
        </x14:conditionalFormatting>
        <x14:conditionalFormatting xmlns:xm="http://schemas.microsoft.com/office/excel/2006/main">
          <x14:cfRule type="dataBar" id="{D5910EFD-1F1E-4045-A275-52DEF60F00BF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</xm:sqref>
        </x14:conditionalFormatting>
        <x14:conditionalFormatting xmlns:xm="http://schemas.microsoft.com/office/excel/2006/main">
          <x14:cfRule type="dataBar" id="{2FC0C995-4171-44A0-A06B-317CC41ED8FC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AI7:AI10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B1:AI11"/>
  <sheetViews>
    <sheetView showGridLines="0" zoomScaleNormal="100" workbookViewId="0">
      <selection activeCell="AG16" sqref="AG16"/>
    </sheetView>
  </sheetViews>
  <sheetFormatPr defaultRowHeight="30" customHeight="1" x14ac:dyDescent="0.25"/>
  <cols>
    <col min="1" max="1" width="2.7109375" customWidth="1"/>
    <col min="2" max="2" width="25.7109375" customWidth="1"/>
    <col min="3" max="33" width="5.7109375" customWidth="1"/>
    <col min="34" max="34" width="18.7109375" customWidth="1"/>
    <col min="35" max="35" width="22.85546875" customWidth="1"/>
  </cols>
  <sheetData>
    <row r="1" spans="2:35" ht="50.1" customHeight="1" x14ac:dyDescent="0.25">
      <c r="B1" s="14" t="str">
        <f>Název_nepřítomnosti_zaměstnanců</f>
        <v xml:space="preserve">Druhotná umístění </v>
      </c>
    </row>
    <row r="2" spans="2:35" ht="15" customHeight="1" x14ac:dyDescent="0.25">
      <c r="B2" s="5"/>
    </row>
    <row r="3" spans="2:35" ht="30" customHeight="1" x14ac:dyDescent="0.25">
      <c r="B3" s="3" t="s">
        <v>41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3">
        <f>KalendářníRok</f>
        <v>2026</v>
      </c>
      <c r="AI3" s="3"/>
    </row>
    <row r="4" spans="2:35" ht="15" customHeight="1" x14ac:dyDescent="0.25">
      <c r="B4" s="3"/>
      <c r="C4" s="1" t="str">
        <f>TEXT(WEEKDAY(DATE(KalendářníRok,9,1),1),"aaa")</f>
        <v>út</v>
      </c>
      <c r="D4" s="1" t="str">
        <f>TEXT(WEEKDAY(DATE(KalendářníRok,9,2),1),"aaa")</f>
        <v>st</v>
      </c>
      <c r="E4" s="1" t="str">
        <f>TEXT(WEEKDAY(DATE(KalendářníRok,9,3),1),"aaa")</f>
        <v>čt</v>
      </c>
      <c r="F4" s="1" t="str">
        <f>TEXT(WEEKDAY(DATE(KalendářníRok,9,4),1),"aaa")</f>
        <v>pá</v>
      </c>
      <c r="G4" s="1" t="str">
        <f>TEXT(WEEKDAY(DATE(KalendářníRok,9,5),1),"aaa")</f>
        <v>so</v>
      </c>
      <c r="H4" s="1" t="str">
        <f>TEXT(WEEKDAY(DATE(KalendářníRok,9,6),1),"aaa")</f>
        <v>ne</v>
      </c>
      <c r="I4" s="1" t="str">
        <f>TEXT(WEEKDAY(DATE(KalendářníRok,9,7),1),"aaa")</f>
        <v>po</v>
      </c>
      <c r="J4" s="1" t="str">
        <f>TEXT(WEEKDAY(DATE(KalendářníRok,9,8),1),"aaa")</f>
        <v>út</v>
      </c>
      <c r="K4" s="1" t="str">
        <f>TEXT(WEEKDAY(DATE(KalendářníRok,9,9),1),"aaa")</f>
        <v>st</v>
      </c>
      <c r="L4" s="1" t="str">
        <f>TEXT(WEEKDAY(DATE(KalendářníRok,9,10),1),"aaa")</f>
        <v>čt</v>
      </c>
      <c r="M4" s="1" t="str">
        <f>TEXT(WEEKDAY(DATE(KalendářníRok,9,11),1),"aaa")</f>
        <v>pá</v>
      </c>
      <c r="N4" s="1" t="str">
        <f>TEXT(WEEKDAY(DATE(KalendářníRok,9,12),1),"aaa")</f>
        <v>so</v>
      </c>
      <c r="O4" s="1" t="str">
        <f>TEXT(WEEKDAY(DATE(KalendářníRok,9,13),1),"aaa")</f>
        <v>ne</v>
      </c>
      <c r="P4" s="1" t="str">
        <f>TEXT(WEEKDAY(DATE(KalendářníRok,9,14),1),"aaa")</f>
        <v>po</v>
      </c>
      <c r="Q4" s="1" t="str">
        <f>TEXT(WEEKDAY(DATE(KalendářníRok,9,15),1),"aaa")</f>
        <v>út</v>
      </c>
      <c r="R4" s="1" t="str">
        <f>TEXT(WEEKDAY(DATE(KalendářníRok,9,16),1),"aaa")</f>
        <v>st</v>
      </c>
      <c r="S4" s="1" t="str">
        <f>TEXT(WEEKDAY(DATE(KalendářníRok,9,17),1),"aaa")</f>
        <v>čt</v>
      </c>
      <c r="T4" s="1" t="str">
        <f>TEXT(WEEKDAY(DATE(KalendářníRok,9,18),1),"aaa")</f>
        <v>pá</v>
      </c>
      <c r="U4" s="1" t="str">
        <f>TEXT(WEEKDAY(DATE(KalendářníRok,9,19),1),"aaa")</f>
        <v>so</v>
      </c>
      <c r="V4" s="1" t="str">
        <f>TEXT(WEEKDAY(DATE(KalendářníRok,9,20),1),"aaa")</f>
        <v>ne</v>
      </c>
      <c r="W4" s="1" t="str">
        <f>TEXT(WEEKDAY(DATE(KalendářníRok,9,21),1),"aaa")</f>
        <v>po</v>
      </c>
      <c r="X4" s="1" t="str">
        <f>TEXT(WEEKDAY(DATE(KalendářníRok,9,22),1),"aaa")</f>
        <v>út</v>
      </c>
      <c r="Y4" s="1" t="str">
        <f>TEXT(WEEKDAY(DATE(KalendářníRok,9,23),1),"aaa")</f>
        <v>st</v>
      </c>
      <c r="Z4" s="1" t="str">
        <f>TEXT(WEEKDAY(DATE(KalendářníRok,9,24),1),"aaa")</f>
        <v>čt</v>
      </c>
      <c r="AA4" s="1" t="str">
        <f>TEXT(WEEKDAY(DATE(KalendářníRok,9,25),1),"aaa")</f>
        <v>pá</v>
      </c>
      <c r="AB4" s="1" t="str">
        <f>TEXT(WEEKDAY(DATE(KalendářníRok,9,26),1),"aaa")</f>
        <v>so</v>
      </c>
      <c r="AC4" s="1" t="str">
        <f>TEXT(WEEKDAY(DATE(KalendářníRok,9,27),1),"aaa")</f>
        <v>ne</v>
      </c>
      <c r="AD4" s="1" t="str">
        <f>TEXT(WEEKDAY(DATE(KalendářníRok,9,28),1),"aaa")</f>
        <v>po</v>
      </c>
      <c r="AE4" s="1" t="str">
        <f>TEXT(WEEKDAY(DATE(KalendářníRok,9,29),1),"aaa")</f>
        <v>út</v>
      </c>
      <c r="AF4" s="1" t="str">
        <f>TEXT(WEEKDAY(DATE(KalendářníRok,9,30),1),"aaa")</f>
        <v>st</v>
      </c>
      <c r="AG4" s="1"/>
      <c r="AH4" s="3"/>
      <c r="AI4" s="3"/>
    </row>
    <row r="5" spans="2:35" ht="15" customHeight="1" x14ac:dyDescent="0.25">
      <c r="B5" s="38" t="s">
        <v>45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33</v>
      </c>
      <c r="AH5" s="7" t="s">
        <v>53</v>
      </c>
      <c r="AI5" s="22" t="s">
        <v>52</v>
      </c>
    </row>
    <row r="6" spans="2:35" ht="30" customHeight="1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>
        <f>COUNTA(Září[[#This Row],[1]:[30]])</f>
        <v>0</v>
      </c>
      <c r="AI6" s="19"/>
    </row>
    <row r="7" spans="2:35" ht="30" customHeight="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>
        <f>COUNTA(Září[[#This Row],[1]:[30]])</f>
        <v>0</v>
      </c>
      <c r="AI7" s="19"/>
    </row>
    <row r="8" spans="2:35" ht="30" customHeight="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>
        <f>COUNTA(Září[[#This Row],[1]:[30]])</f>
        <v>0</v>
      </c>
      <c r="AI8" s="19"/>
    </row>
    <row r="9" spans="2:35" ht="30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>
        <f>COUNTA(Září[[#This Row],[1]:[30]])</f>
        <v>0</v>
      </c>
      <c r="AI9" s="19"/>
    </row>
    <row r="10" spans="2:35" ht="30" customHeight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>
        <f>COUNTA(Září[[#This Row],[1]:[30]])</f>
        <v>0</v>
      </c>
      <c r="AI10" s="19"/>
    </row>
    <row r="11" spans="2:35" ht="30" customHeight="1" thickBot="1" x14ac:dyDescent="0.3">
      <c r="B11" s="10"/>
      <c r="C11" s="4">
        <f>SUBTOTAL(103,Září[1])</f>
        <v>0</v>
      </c>
      <c r="D11" s="4">
        <f>SUBTOTAL(103,Září[2])</f>
        <v>0</v>
      </c>
      <c r="E11" s="4">
        <f>SUBTOTAL(103,Září[3])</f>
        <v>0</v>
      </c>
      <c r="F11" s="4">
        <f>SUBTOTAL(103,Září[4])</f>
        <v>0</v>
      </c>
      <c r="G11" s="4">
        <f>SUBTOTAL(103,Září[5])</f>
        <v>0</v>
      </c>
      <c r="H11" s="4">
        <f>SUBTOTAL(103,Září[6])</f>
        <v>0</v>
      </c>
      <c r="I11" s="4">
        <f>SUBTOTAL(103,Září[7])</f>
        <v>0</v>
      </c>
      <c r="J11" s="4">
        <f>SUBTOTAL(103,Září[8])</f>
        <v>0</v>
      </c>
      <c r="K11" s="4">
        <f>SUBTOTAL(103,Září[9])</f>
        <v>0</v>
      </c>
      <c r="L11" s="4">
        <f>SUBTOTAL(103,Září[10])</f>
        <v>0</v>
      </c>
      <c r="M11" s="4">
        <f>SUBTOTAL(103,Září[11])</f>
        <v>0</v>
      </c>
      <c r="N11" s="4">
        <f>SUBTOTAL(103,Září[12])</f>
        <v>0</v>
      </c>
      <c r="O11" s="4">
        <f>SUBTOTAL(103,Září[13])</f>
        <v>0</v>
      </c>
      <c r="P11" s="4">
        <f>SUBTOTAL(103,Září[14])</f>
        <v>0</v>
      </c>
      <c r="Q11" s="4">
        <f>SUBTOTAL(103,Září[15])</f>
        <v>0</v>
      </c>
      <c r="R11" s="4">
        <f>SUBTOTAL(103,Září[16])</f>
        <v>0</v>
      </c>
      <c r="S11" s="4">
        <f>SUBTOTAL(103,Září[17])</f>
        <v>0</v>
      </c>
      <c r="T11" s="4">
        <f>SUBTOTAL(103,Září[18])</f>
        <v>0</v>
      </c>
      <c r="U11" s="4">
        <f>SUBTOTAL(103,Září[19])</f>
        <v>0</v>
      </c>
      <c r="V11" s="4">
        <f>SUBTOTAL(103,Září[20])</f>
        <v>0</v>
      </c>
      <c r="W11" s="4">
        <f>SUBTOTAL(103,Září[21])</f>
        <v>0</v>
      </c>
      <c r="X11" s="4">
        <f>SUBTOTAL(103,Září[22])</f>
        <v>0</v>
      </c>
      <c r="Y11" s="4">
        <f>SUBTOTAL(103,Září[23])</f>
        <v>0</v>
      </c>
      <c r="Z11" s="4">
        <f>SUBTOTAL(103,Září[24])</f>
        <v>0</v>
      </c>
      <c r="AA11" s="4">
        <f>SUBTOTAL(103,Září[25])</f>
        <v>0</v>
      </c>
      <c r="AB11" s="4">
        <f>SUBTOTAL(103,Září[26])</f>
        <v>0</v>
      </c>
      <c r="AC11" s="4">
        <f>SUBTOTAL(103,Září[27])</f>
        <v>0</v>
      </c>
      <c r="AD11" s="4">
        <f>SUBTOTAL(103,Září[28])</f>
        <v>0</v>
      </c>
      <c r="AE11" s="4">
        <f>SUBTOTAL(103,Září[29])</f>
        <v>0</v>
      </c>
      <c r="AF11" s="4">
        <f>SUBTOTAL(103,Září[30])</f>
        <v>0</v>
      </c>
      <c r="AG11" s="4">
        <f>SUBTOTAL(103,Září[[ ]])</f>
        <v>0</v>
      </c>
      <c r="AH11" s="4">
        <f>SUBTOTAL(109,Září[[Datum ]])</f>
        <v>0</v>
      </c>
      <c r="AI11" s="15">
        <f>SUBTOTAL(109,Září[[Datum ]])</f>
        <v>0</v>
      </c>
    </row>
  </sheetData>
  <mergeCells count="1">
    <mergeCell ref="C3:AG3"/>
  </mergeCells>
  <conditionalFormatting sqref="C6:AG10">
    <cfRule type="expression" priority="2" stopIfTrue="1">
      <formula>C6=""</formula>
    </cfRule>
    <cfRule type="expression" dxfId="52" priority="3" stopIfTrue="1">
      <formula>C6=VlastníKlíč2</formula>
    </cfRule>
    <cfRule type="expression" dxfId="51" priority="4" stopIfTrue="1">
      <formula>C6=VlastníKlíč1</formula>
    </cfRule>
    <cfRule type="expression" dxfId="50" priority="5" stopIfTrue="1">
      <formula>C6=KlíčZdravotníNeschopnost</formula>
    </cfRule>
    <cfRule type="expression" dxfId="49" priority="6" stopIfTrue="1">
      <formula>C6=KlíčOsobní</formula>
    </cfRule>
    <cfRule type="expression" dxfId="48" priority="7" stopIfTrue="1">
      <formula>C6=KlíčDovolená</formula>
    </cfRule>
  </conditionalFormatting>
  <conditionalFormatting sqref="AH6:AH10">
    <cfRule type="dataBar" priority="8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conditionalFormatting sqref="AI6:AI10">
    <cfRule type="dataBar" priority="1">
      <dataBar>
        <cfvo type="min"/>
        <cfvo type="formula" val="DATEDIF(DATE(KalendářníRok,2,1),DATE(KalendářníRok,3,1),&quot;d&quot;)"/>
        <color theme="2" tint="-0.249977111117893"/>
      </dataBar>
      <extLst>
        <ext xmlns:x14="http://schemas.microsoft.com/office/spreadsheetml/2009/9/main" uri="{B025F937-C7B1-47D3-B67F-A62EFF666E3E}">
          <x14:id>{DEB7700A-3A9A-4DFC-A791-9D96A869D7B9}</x14:id>
        </ext>
      </extLst>
    </cfRule>
  </conditionalFormatting>
  <dataValidations count="8">
    <dataValidation allowBlank="1" showInputMessage="1" showErrorMessage="1" prompt="Dny v měsíci v tomto řádku se generují automaticky. V každém sloupci pro každý den v měsíci zadejte nepřítomnost zaměstnance a její typ. Pokud je buňka prázdná, znamená to, že není zadaná žádná nepřítomnost." sqref="C5" xr:uid="{00000000-0002-0000-0800-000000000000}"/>
    <dataValidation allowBlank="1" showInputMessage="1" showErrorMessage="1" prompt="Název měsíce pro tento plán nepřítomnosti je v této buňce. Součty nepřítomnosti pro tento měsíc jsou v poslední buňce tabulky. Ve sloupci B v tabulce vyberte jména zaměstnanců." sqref="B3" xr:uid="{00000000-0002-0000-0800-000001000000}"/>
    <dataValidation allowBlank="1" showInputMessage="1" showErrorMessage="1" prompt="V této buňce je automaticky aktualizovaný název. Pokud chcete upravit název, aktualizujte buňku B1 na listu Leden." sqref="B1" xr:uid="{00000000-0002-0000-0800-000008000000}"/>
    <dataValidation errorStyle="warning" allowBlank="1" showInputMessage="1" showErrorMessage="1" error="V seznamu vyberte jméno. Vyberte možnost Zrušit a pak stiskněte klávesy Alt+Šipka dolů. Výběr jména pak proveďte stisknutím klávesy Enter." prompt="Zadejte jména zaměstnanců v listu Jména zaměstnanců a pak jedno z těchto jmen vyberte v seznamu v tomto sloupci. Stiskněte klávesy Alt+Šipka dolů. Výběr jména pak proveďte stisknutím klávesy Enter." sqref="B5 AI5" xr:uid="{00000000-0002-0000-0800-000009000000}"/>
    <dataValidation allowBlank="1" showInputMessage="1" showErrorMessage="1" prompt="V tomto listu se sleduje nepřítomnost v září." sqref="A1" xr:uid="{00000000-0002-0000-0800-00000A000000}"/>
    <dataValidation allowBlank="1" showInputMessage="1" showErrorMessage="1" prompt="Automaticky aktualizovaný rok na základě roku zadaného v listu Leden." sqref="AH3" xr:uid="{00000000-0002-0000-0800-00000C000000}"/>
    <dataValidation allowBlank="1" showInputMessage="1" showErrorMessage="1" prompt="Pracovní dny v tomto řádku se automaticky aktualizují pro příslušný měsíc podle roku v AH4. Každý den v měsíci obsahuje sloupec pro zadání nepřítomnosti zaměstnance a jejího typu." sqref="C4" xr:uid="{00000000-0002-0000-0800-00000D000000}"/>
    <dataValidation allowBlank="1" showInputMessage="1" showErrorMessage="1" prompt="Automaticky vypočítá celkový počet dní nepřítomnosti zaměstnance v tomto měsíci." sqref="AH5" xr:uid="{AB8542D3-AD71-40A5-8E9F-6818B765DADE}"/>
  </dataValidations>
  <printOptions horizontalCentered="1"/>
  <pageMargins left="0.25" right="0.25" top="0.75" bottom="0.75" header="0.3" footer="0.3"/>
  <pageSetup paperSize="9" scale="6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AH6:AH10</xm:sqref>
        </x14:conditionalFormatting>
        <x14:conditionalFormatting xmlns:xm="http://schemas.microsoft.com/office/excel/2006/main">
          <x14:cfRule type="dataBar" id="{DEB7700A-3A9A-4DFC-A791-9D96A869D7B9}">
            <x14:dataBar minLength="0" maxLength="100">
              <x14:cfvo type="autoMin"/>
              <x14:cfvo type="formula">
                <xm:f>DATEDIF(DATE(KalendářníRok,2,1),DATE(KalendářníRok,3,1),"d")</xm:f>
              </x14:cfvo>
              <x14:negativeFillColor rgb="FFFF0000"/>
              <x14:axisColor rgb="FF000000"/>
            </x14:dataBar>
          </x14:cfRule>
          <xm:sqref>AI6:AI10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38</vt:i4>
      </vt:variant>
    </vt:vector>
  </HeadingPairs>
  <TitlesOfParts>
    <vt:vector size="50" baseType="lpstr">
      <vt:lpstr>Leden</vt:lpstr>
      <vt:lpstr>Únor</vt:lpstr>
      <vt:lpstr>Březen</vt:lpstr>
      <vt:lpstr>Duben</vt:lpstr>
      <vt:lpstr>Květen</vt:lpstr>
      <vt:lpstr>Červen</vt:lpstr>
      <vt:lpstr>Červenec</vt:lpstr>
      <vt:lpstr>Srpen</vt:lpstr>
      <vt:lpstr>Září</vt:lpstr>
      <vt:lpstr>Říjen</vt:lpstr>
      <vt:lpstr>Listopad</vt:lpstr>
      <vt:lpstr>Prosinec</vt:lpstr>
      <vt:lpstr>KalendářníRok</vt:lpstr>
      <vt:lpstr>Nadpis1</vt:lpstr>
      <vt:lpstr>Nadpis10</vt:lpstr>
      <vt:lpstr>Nadpis11</vt:lpstr>
      <vt:lpstr>Nadpis12</vt:lpstr>
      <vt:lpstr>Nadpis2</vt:lpstr>
      <vt:lpstr>Nadpis3</vt:lpstr>
      <vt:lpstr>Nadpis4</vt:lpstr>
      <vt:lpstr>Nadpis5</vt:lpstr>
      <vt:lpstr>Nadpis6</vt:lpstr>
      <vt:lpstr>Nadpis7</vt:lpstr>
      <vt:lpstr>Nadpis8</vt:lpstr>
      <vt:lpstr>Nadpis9</vt:lpstr>
      <vt:lpstr>Název_nepřítomnosti_zaměstnanců</vt:lpstr>
      <vt:lpstr>Březen!NázevMěsíce</vt:lpstr>
      <vt:lpstr>Červen!NázevMěsíce</vt:lpstr>
      <vt:lpstr>Červenec!NázevMěsíce</vt:lpstr>
      <vt:lpstr>Duben!NázevMěsíce</vt:lpstr>
      <vt:lpstr>Květen!NázevMěsíce</vt:lpstr>
      <vt:lpstr>Leden!NázevMěsíce</vt:lpstr>
      <vt:lpstr>Listopad!NázevMěsíce</vt:lpstr>
      <vt:lpstr>Prosinec!NázevMěsíce</vt:lpstr>
      <vt:lpstr>Říjen!NázevMěsíce</vt:lpstr>
      <vt:lpstr>Srpen!NázevMěsíce</vt:lpstr>
      <vt:lpstr>Únor!NázevMěsíce</vt:lpstr>
      <vt:lpstr>Září!NázevMěsíce</vt:lpstr>
      <vt:lpstr>Březen!Názvy_tisku</vt:lpstr>
      <vt:lpstr>Červen!Názvy_tisku</vt:lpstr>
      <vt:lpstr>Červenec!Názvy_tisku</vt:lpstr>
      <vt:lpstr>Duben!Názvy_tisku</vt:lpstr>
      <vt:lpstr>Květen!Názvy_tisku</vt:lpstr>
      <vt:lpstr>Leden!Názvy_tisku</vt:lpstr>
      <vt:lpstr>Listopad!Názvy_tisku</vt:lpstr>
      <vt:lpstr>Prosinec!Názvy_tisku</vt:lpstr>
      <vt:lpstr>Říjen!Názvy_tisku</vt:lpstr>
      <vt:lpstr>Srpen!Názvy_tisku</vt:lpstr>
      <vt:lpstr>Únor!Názvy_tisku</vt:lpstr>
      <vt:lpstr>Září!Názvy_tisku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Ficová Sandra</dc:creator>
  <cp:lastModifiedBy>Ficová Sandra</cp:lastModifiedBy>
  <dcterms:created xsi:type="dcterms:W3CDTF">2016-12-06T04:52:27Z</dcterms:created>
  <dcterms:modified xsi:type="dcterms:W3CDTF">2026-07-08T06:37:49Z</dcterms:modified>
</cp:coreProperties>
</file>